
<file path=[Content_Types].xml><?xml version="1.0" encoding="utf-8"?>
<Types xmlns="http://schemas.openxmlformats.org/package/2006/content-types">
  <Default Extension="bin" ContentType="application/vnd.ms-office.vbaProject"/>
  <Override PartName="/xl/theme/theme1.xml" ContentType="application/vnd.openxmlformats-officedocument.theme+xml"/>
  <Override PartName="/xl/styles.xml" ContentType="application/vnd.openxmlformats-officedocument.spreadsheetml.styles+xml"/>
  <Default Extension="wmf" ContentType="image/x-wmf"/>
  <Default Extension="jpeg" ContentType="image/jpeg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 codeName="{8C4F1C90-05EB-6A55-5F09-09C24B55AC0B}"/>
  <workbookPr codeName="ThisWorkbook"/>
  <bookViews>
    <workbookView xWindow="240" yWindow="105" windowWidth="11355" windowHeight="7785" tabRatio="844" activeTab="3"/>
  </bookViews>
  <sheets>
    <sheet name="jednotlivci" sheetId="1" r:id="rId1"/>
    <sheet name="garáže" sheetId="11" r:id="rId2"/>
    <sheet name="stat. celkem" sheetId="34" r:id="rId3"/>
    <sheet name="turnaje" sheetId="40" r:id="rId4"/>
    <sheet name="zápis" sheetId="12" state="hidden" r:id="rId5"/>
  </sheets>
  <calcPr calcId="125725" concurrentCalc="0"/>
</workbook>
</file>

<file path=xl/calcChain.xml><?xml version="1.0" encoding="utf-8"?>
<calcChain xmlns="http://schemas.openxmlformats.org/spreadsheetml/2006/main">
  <c r="AA50" i="1"/>
  <c r="AA54"/>
  <c r="AA57"/>
  <c r="AA61"/>
  <c r="AA71"/>
  <c r="AA75"/>
  <c r="AA83"/>
  <c r="AA76"/>
  <c r="AE76"/>
  <c r="Y76"/>
  <c r="Y37"/>
  <c r="Y85"/>
  <c r="Y84"/>
  <c r="Y83"/>
  <c r="Y82"/>
  <c r="Y81"/>
  <c r="Y80"/>
  <c r="Y79"/>
  <c r="Y78"/>
  <c r="Y77"/>
  <c r="Y48"/>
  <c r="Y47"/>
  <c r="Y75"/>
  <c r="Y74"/>
  <c r="Y46"/>
  <c r="Y45"/>
  <c r="Y73"/>
  <c r="Y72"/>
  <c r="Y44"/>
  <c r="Y71"/>
  <c r="Y70"/>
  <c r="Y43"/>
  <c r="Y42"/>
  <c r="Y41"/>
  <c r="Y40"/>
  <c r="Y39"/>
  <c r="Y69"/>
  <c r="Y68"/>
  <c r="Y67"/>
  <c r="Y66"/>
  <c r="Y65"/>
  <c r="Y64"/>
  <c r="Y63"/>
  <c r="Y38"/>
  <c r="Y36"/>
  <c r="Y62"/>
  <c r="Y35"/>
  <c r="Y34"/>
  <c r="Y33"/>
  <c r="Y32"/>
  <c r="Y61"/>
  <c r="Y60"/>
  <c r="Y31"/>
  <c r="Y59"/>
  <c r="Y30"/>
  <c r="Y29"/>
  <c r="Y28"/>
  <c r="Y58"/>
  <c r="Y57"/>
  <c r="Y27"/>
  <c r="Y56"/>
  <c r="Y26"/>
  <c r="Y25"/>
  <c r="Y24"/>
  <c r="Y55"/>
  <c r="Y23"/>
  <c r="Y22"/>
  <c r="Y21"/>
  <c r="Y54"/>
  <c r="Y20"/>
  <c r="Y19"/>
  <c r="Y18"/>
  <c r="Y17"/>
  <c r="Y16"/>
  <c r="Y15"/>
  <c r="Y14"/>
  <c r="Y13"/>
  <c r="Y53"/>
  <c r="Y52"/>
  <c r="Y12"/>
  <c r="Y11"/>
  <c r="Y10"/>
  <c r="Y51"/>
  <c r="Y9"/>
  <c r="Y50"/>
  <c r="Y8"/>
  <c r="Y49"/>
  <c r="Y7"/>
  <c r="Y6"/>
  <c r="D89"/>
  <c r="D88"/>
  <c r="D87"/>
  <c r="D86"/>
  <c r="FH6" i="40"/>
  <c r="FI6"/>
  <c r="FJ6"/>
  <c r="FH7"/>
  <c r="FI7"/>
  <c r="FJ7"/>
  <c r="FH8"/>
  <c r="FI8"/>
  <c r="FJ8"/>
  <c r="FH9"/>
  <c r="FI9"/>
  <c r="FJ9"/>
  <c r="FH10"/>
  <c r="FI10"/>
  <c r="FQ6"/>
  <c r="FR7"/>
  <c r="FR8"/>
  <c r="FR9"/>
  <c r="FR10"/>
  <c r="FR11"/>
  <c r="FR12"/>
  <c r="FR13"/>
  <c r="FR14"/>
  <c r="FR15"/>
  <c r="FR16"/>
  <c r="FR17"/>
  <c r="FR18"/>
  <c r="FR19"/>
  <c r="FR20"/>
  <c r="FR21"/>
  <c r="FR22"/>
  <c r="FR23"/>
  <c r="FR24"/>
  <c r="FR25"/>
  <c r="FR26"/>
  <c r="FR27"/>
  <c r="FR28"/>
  <c r="FR29"/>
  <c r="FR30"/>
  <c r="FR31"/>
  <c r="FR32"/>
  <c r="FR33"/>
  <c r="FR34"/>
  <c r="FR35"/>
  <c r="FR36"/>
  <c r="FR37"/>
  <c r="FR38"/>
  <c r="FR39"/>
  <c r="FR40"/>
  <c r="FR41"/>
  <c r="FR42"/>
  <c r="FR43"/>
  <c r="FR44"/>
  <c r="FR45"/>
  <c r="FR46"/>
  <c r="FR47"/>
  <c r="FR48"/>
  <c r="FR49"/>
  <c r="FR50"/>
  <c r="FR51"/>
  <c r="FR52"/>
  <c r="FR53"/>
  <c r="FR54"/>
  <c r="FR55"/>
  <c r="ES6"/>
  <c r="FG65"/>
  <c r="FF65"/>
  <c r="FE65"/>
  <c r="FD65"/>
  <c r="FC65"/>
  <c r="FI64"/>
  <c r="FH64"/>
  <c r="FJ64"/>
  <c r="FI63"/>
  <c r="FH63"/>
  <c r="FJ63"/>
  <c r="FI62"/>
  <c r="FH62"/>
  <c r="FJ62"/>
  <c r="FI61"/>
  <c r="FH61"/>
  <c r="FI60"/>
  <c r="FH60"/>
  <c r="FJ60"/>
  <c r="FG59"/>
  <c r="FF59"/>
  <c r="FE59"/>
  <c r="FD59"/>
  <c r="FC59"/>
  <c r="FL59"/>
  <c r="FI58"/>
  <c r="FH58"/>
  <c r="FJ58"/>
  <c r="FI57"/>
  <c r="FH57"/>
  <c r="FJ57"/>
  <c r="FI56"/>
  <c r="FH56"/>
  <c r="FI55"/>
  <c r="FH55"/>
  <c r="FJ55"/>
  <c r="FI54"/>
  <c r="FH54"/>
  <c r="FJ54"/>
  <c r="FG53"/>
  <c r="FF53"/>
  <c r="FE53"/>
  <c r="FD53"/>
  <c r="FC53"/>
  <c r="FI52"/>
  <c r="FH52"/>
  <c r="FJ52"/>
  <c r="FI51"/>
  <c r="FH51"/>
  <c r="FJ51"/>
  <c r="FI50"/>
  <c r="FH50"/>
  <c r="FJ50"/>
  <c r="FI49"/>
  <c r="FH49"/>
  <c r="FI48"/>
  <c r="FH48"/>
  <c r="FJ48"/>
  <c r="FG47"/>
  <c r="FF47"/>
  <c r="FE47"/>
  <c r="FD47"/>
  <c r="FC47"/>
  <c r="FL47"/>
  <c r="FI46"/>
  <c r="FH46"/>
  <c r="FJ46"/>
  <c r="FI45"/>
  <c r="FH45"/>
  <c r="FJ45"/>
  <c r="FI44"/>
  <c r="FH44"/>
  <c r="FI43"/>
  <c r="FH43"/>
  <c r="FJ43"/>
  <c r="FI42"/>
  <c r="FH42"/>
  <c r="FJ42"/>
  <c r="FG41"/>
  <c r="FF41"/>
  <c r="FE41"/>
  <c r="FD41"/>
  <c r="FC41"/>
  <c r="FI40"/>
  <c r="FH40"/>
  <c r="FJ40"/>
  <c r="FI39"/>
  <c r="FH39"/>
  <c r="FJ39"/>
  <c r="FI38"/>
  <c r="FH38"/>
  <c r="FJ38"/>
  <c r="FI37"/>
  <c r="FH37"/>
  <c r="FI36"/>
  <c r="FH36"/>
  <c r="FJ36"/>
  <c r="FG35"/>
  <c r="FF35"/>
  <c r="FE35"/>
  <c r="FD35"/>
  <c r="FC35"/>
  <c r="FL35"/>
  <c r="FI34"/>
  <c r="FH34"/>
  <c r="FJ34"/>
  <c r="FI33"/>
  <c r="FH33"/>
  <c r="FJ33"/>
  <c r="FI32"/>
  <c r="FH32"/>
  <c r="FI31"/>
  <c r="FH31"/>
  <c r="FJ31"/>
  <c r="FI30"/>
  <c r="FH30"/>
  <c r="FJ30"/>
  <c r="FG29"/>
  <c r="FF29"/>
  <c r="FE29"/>
  <c r="FD29"/>
  <c r="FC29"/>
  <c r="FI28"/>
  <c r="FH28"/>
  <c r="FJ28"/>
  <c r="FI27"/>
  <c r="FH27"/>
  <c r="FJ27"/>
  <c r="FI26"/>
  <c r="FH26"/>
  <c r="FJ26"/>
  <c r="FI25"/>
  <c r="FH25"/>
  <c r="FI24"/>
  <c r="FH24"/>
  <c r="FJ24"/>
  <c r="FG23"/>
  <c r="FF23"/>
  <c r="FE23"/>
  <c r="FD23"/>
  <c r="FC23"/>
  <c r="FL23"/>
  <c r="FI22"/>
  <c r="FH22"/>
  <c r="FJ22"/>
  <c r="FI21"/>
  <c r="FH21"/>
  <c r="FJ21"/>
  <c r="FI20"/>
  <c r="FH20"/>
  <c r="FI19"/>
  <c r="FH19"/>
  <c r="FJ19"/>
  <c r="FI18"/>
  <c r="FH18"/>
  <c r="FJ18"/>
  <c r="FG17"/>
  <c r="FF17"/>
  <c r="FE17"/>
  <c r="FD17"/>
  <c r="FC17"/>
  <c r="FM17"/>
  <c r="FI16"/>
  <c r="FH16"/>
  <c r="FJ16"/>
  <c r="FI15"/>
  <c r="FH15"/>
  <c r="FI14"/>
  <c r="FH14"/>
  <c r="FJ14"/>
  <c r="FI13"/>
  <c r="FH13"/>
  <c r="FJ13"/>
  <c r="FI12"/>
  <c r="FH12"/>
  <c r="FJ12"/>
  <c r="FG11"/>
  <c r="FF11"/>
  <c r="FE11"/>
  <c r="FD11"/>
  <c r="FC11"/>
  <c r="V75" i="1"/>
  <c r="V72"/>
  <c r="V38"/>
  <c r="V57"/>
  <c r="AA85"/>
  <c r="D85"/>
  <c r="AA60"/>
  <c r="D60"/>
  <c r="AA80"/>
  <c r="D80"/>
  <c r="AA79"/>
  <c r="D79"/>
  <c r="AA77"/>
  <c r="D77"/>
  <c r="AA72"/>
  <c r="D72"/>
  <c r="AA70"/>
  <c r="D70"/>
  <c r="AA63"/>
  <c r="D63"/>
  <c r="S80"/>
  <c r="AB80"/>
  <c r="AE80"/>
  <c r="AD80"/>
  <c r="AC80"/>
  <c r="S77"/>
  <c r="AB77"/>
  <c r="AE77"/>
  <c r="AD77"/>
  <c r="AC77"/>
  <c r="S72"/>
  <c r="S63"/>
  <c r="S57"/>
  <c r="S38"/>
  <c r="S40"/>
  <c r="I37" i="11"/>
  <c r="AF94" i="12"/>
  <c r="AT46"/>
  <c r="K37" i="11"/>
  <c r="AR46" i="12"/>
  <c r="AL46"/>
  <c r="H37" i="11"/>
  <c r="AF46" i="12"/>
  <c r="G37" i="11"/>
  <c r="J37"/>
  <c r="D50" i="1"/>
  <c r="D71"/>
  <c r="D61"/>
  <c r="D75"/>
  <c r="D57"/>
  <c r="D83"/>
  <c r="P63"/>
  <c r="P57"/>
  <c r="P83"/>
  <c r="AB83"/>
  <c r="P75"/>
  <c r="P38"/>
  <c r="P84"/>
  <c r="P18"/>
  <c r="P46"/>
  <c r="P82"/>
  <c r="P22"/>
  <c r="P40"/>
  <c r="E59" i="11"/>
  <c r="D59"/>
  <c r="C59"/>
  <c r="E52"/>
  <c r="D52"/>
  <c r="C52"/>
  <c r="E44"/>
  <c r="D44"/>
  <c r="C44"/>
  <c r="AT72" i="12"/>
  <c r="K52" i="11"/>
  <c r="AT71" i="12"/>
  <c r="K59" i="11"/>
  <c r="AR72" i="12"/>
  <c r="I52" i="11"/>
  <c r="AR71" i="12"/>
  <c r="I59" i="11"/>
  <c r="AL72" i="12"/>
  <c r="H52" i="11"/>
  <c r="AL71" i="12"/>
  <c r="H59" i="11"/>
  <c r="AF72" i="12"/>
  <c r="G52" i="11"/>
  <c r="AF71" i="12"/>
  <c r="G59" i="11"/>
  <c r="AF70" i="12"/>
  <c r="G44" i="11"/>
  <c r="Z72" i="12"/>
  <c r="F52" i="11"/>
  <c r="Z71" i="12"/>
  <c r="F59" i="11"/>
  <c r="Z70" i="12"/>
  <c r="F44" i="11"/>
  <c r="M84" i="1"/>
  <c r="AA84"/>
  <c r="D84"/>
  <c r="AA78"/>
  <c r="D78"/>
  <c r="AA74"/>
  <c r="D74"/>
  <c r="AA58"/>
  <c r="D58"/>
  <c r="AA69"/>
  <c r="D69"/>
  <c r="AA53"/>
  <c r="D53"/>
  <c r="AA49"/>
  <c r="D49"/>
  <c r="M38"/>
  <c r="M40"/>
  <c r="GM66" i="40"/>
  <c r="GM30"/>
  <c r="AA68" i="1"/>
  <c r="D68"/>
  <c r="AA22"/>
  <c r="D22"/>
  <c r="J40"/>
  <c r="J38"/>
  <c r="V68"/>
  <c r="S68"/>
  <c r="P68"/>
  <c r="M68"/>
  <c r="J68"/>
  <c r="G68"/>
  <c r="V22"/>
  <c r="S22"/>
  <c r="M22"/>
  <c r="J22"/>
  <c r="G22"/>
  <c r="Z69" i="12"/>
  <c r="T69"/>
  <c r="N69"/>
  <c r="H41"/>
  <c r="C35" i="11"/>
  <c r="AT41" i="12"/>
  <c r="K35" i="11"/>
  <c r="AR41" i="12"/>
  <c r="I35" i="11"/>
  <c r="AL41" i="12"/>
  <c r="H35" i="11"/>
  <c r="AF41" i="12"/>
  <c r="G35" i="11"/>
  <c r="Z41" i="12"/>
  <c r="F35" i="11"/>
  <c r="T41" i="12"/>
  <c r="E35" i="11"/>
  <c r="N41" i="12"/>
  <c r="D35" i="11"/>
  <c r="AA47" i="1"/>
  <c r="D47"/>
  <c r="G40"/>
  <c r="G38"/>
  <c r="AA67"/>
  <c r="D67"/>
  <c r="V47"/>
  <c r="S47"/>
  <c r="P47"/>
  <c r="M47"/>
  <c r="J47"/>
  <c r="G47"/>
  <c r="V67"/>
  <c r="S67"/>
  <c r="P67"/>
  <c r="M67"/>
  <c r="J67"/>
  <c r="G67"/>
  <c r="G7"/>
  <c r="AT67" i="12"/>
  <c r="K48" i="11"/>
  <c r="AR67" i="12"/>
  <c r="I48" i="11"/>
  <c r="AL67" i="12"/>
  <c r="H48" i="11"/>
  <c r="AF67" i="12"/>
  <c r="G48" i="11"/>
  <c r="Z67" i="12"/>
  <c r="F48" i="11"/>
  <c r="T67" i="12"/>
  <c r="E48" i="11"/>
  <c r="N67" i="12"/>
  <c r="H67"/>
  <c r="C48" i="11"/>
  <c r="GE71" i="40"/>
  <c r="GD71"/>
  <c r="GC71"/>
  <c r="GB71"/>
  <c r="GA71"/>
  <c r="GL71"/>
  <c r="GM60"/>
  <c r="GI70"/>
  <c r="GG70"/>
  <c r="GF70"/>
  <c r="FW70"/>
  <c r="GI69"/>
  <c r="GG69"/>
  <c r="GF69"/>
  <c r="GH69"/>
  <c r="FW69"/>
  <c r="GI68"/>
  <c r="GG68"/>
  <c r="GF68"/>
  <c r="FW68"/>
  <c r="GI67"/>
  <c r="GG67"/>
  <c r="GF67"/>
  <c r="FW67"/>
  <c r="GG66"/>
  <c r="GF66"/>
  <c r="GI66"/>
  <c r="FW66"/>
  <c r="GE65"/>
  <c r="GD65"/>
  <c r="GC65"/>
  <c r="GB65"/>
  <c r="GA65"/>
  <c r="EI65"/>
  <c r="EH65"/>
  <c r="EG65"/>
  <c r="EF65"/>
  <c r="EE65"/>
  <c r="EN65"/>
  <c r="DK65"/>
  <c r="DJ65"/>
  <c r="DI65"/>
  <c r="DH65"/>
  <c r="DG65"/>
  <c r="CM65"/>
  <c r="CL65"/>
  <c r="CK65"/>
  <c r="CJ65"/>
  <c r="CI65"/>
  <c r="BO65"/>
  <c r="BN65"/>
  <c r="BM65"/>
  <c r="BL65"/>
  <c r="BK65"/>
  <c r="BU65"/>
  <c r="AS65"/>
  <c r="AR65"/>
  <c r="AQ65"/>
  <c r="AP65"/>
  <c r="AO65"/>
  <c r="AX65"/>
  <c r="W65"/>
  <c r="V65"/>
  <c r="U65"/>
  <c r="T65"/>
  <c r="S65"/>
  <c r="GI64"/>
  <c r="GG64"/>
  <c r="GF64"/>
  <c r="FW64"/>
  <c r="EK64"/>
  <c r="EJ64"/>
  <c r="DM64"/>
  <c r="DL64"/>
  <c r="CO64"/>
  <c r="CN64"/>
  <c r="CP64"/>
  <c r="BQ64"/>
  <c r="BP64"/>
  <c r="AU64"/>
  <c r="AT64"/>
  <c r="AV64"/>
  <c r="Y64"/>
  <c r="X64"/>
  <c r="Z64"/>
  <c r="GI63"/>
  <c r="GG63"/>
  <c r="GF63"/>
  <c r="GH63"/>
  <c r="FW63"/>
  <c r="EK63"/>
  <c r="EJ63"/>
  <c r="DM63"/>
  <c r="DL63"/>
  <c r="DN63"/>
  <c r="CO63"/>
  <c r="CN63"/>
  <c r="BQ63"/>
  <c r="BP63"/>
  <c r="AU63"/>
  <c r="AT63"/>
  <c r="AV63"/>
  <c r="Y63"/>
  <c r="X63"/>
  <c r="GI62"/>
  <c r="GG62"/>
  <c r="GF62"/>
  <c r="GH62"/>
  <c r="FW62"/>
  <c r="EK62"/>
  <c r="EJ62"/>
  <c r="DM62"/>
  <c r="DL62"/>
  <c r="CO62"/>
  <c r="CN62"/>
  <c r="BQ62"/>
  <c r="BP62"/>
  <c r="AU62"/>
  <c r="AT62"/>
  <c r="Y62"/>
  <c r="X62"/>
  <c r="Z62"/>
  <c r="GI61"/>
  <c r="GG61"/>
  <c r="GF61"/>
  <c r="FW61"/>
  <c r="EK61"/>
  <c r="EJ61"/>
  <c r="EL61"/>
  <c r="DM61"/>
  <c r="DL61"/>
  <c r="CO61"/>
  <c r="CN61"/>
  <c r="BQ61"/>
  <c r="BP61"/>
  <c r="AU61"/>
  <c r="AT61"/>
  <c r="AV61"/>
  <c r="Y61"/>
  <c r="X61"/>
  <c r="GG60"/>
  <c r="GF60"/>
  <c r="EK60"/>
  <c r="EJ60"/>
  <c r="EL60"/>
  <c r="DM60"/>
  <c r="DL60"/>
  <c r="DN60"/>
  <c r="CO60"/>
  <c r="CN60"/>
  <c r="BQ60"/>
  <c r="BP60"/>
  <c r="BR60"/>
  <c r="AU60"/>
  <c r="AT60"/>
  <c r="Y60"/>
  <c r="X60"/>
  <c r="Z60"/>
  <c r="GE59"/>
  <c r="GD59"/>
  <c r="GC59"/>
  <c r="GB59"/>
  <c r="GA59"/>
  <c r="EI59"/>
  <c r="EH59"/>
  <c r="EG59"/>
  <c r="EF59"/>
  <c r="EE59"/>
  <c r="DK59"/>
  <c r="DJ59"/>
  <c r="DI59"/>
  <c r="DH59"/>
  <c r="DG59"/>
  <c r="CM59"/>
  <c r="CL59"/>
  <c r="CK59"/>
  <c r="CJ59"/>
  <c r="CI59"/>
  <c r="CS59"/>
  <c r="BO59"/>
  <c r="BN59"/>
  <c r="BM59"/>
  <c r="BL59"/>
  <c r="BK59"/>
  <c r="AS59"/>
  <c r="AR59"/>
  <c r="AQ59"/>
  <c r="AP59"/>
  <c r="AO59"/>
  <c r="W59"/>
  <c r="V59"/>
  <c r="U59"/>
  <c r="T59"/>
  <c r="S59"/>
  <c r="AB59"/>
  <c r="GI58"/>
  <c r="GG58"/>
  <c r="GF58"/>
  <c r="FW58"/>
  <c r="EK58"/>
  <c r="EJ58"/>
  <c r="DM58"/>
  <c r="DL58"/>
  <c r="CO58"/>
  <c r="CN58"/>
  <c r="BQ58"/>
  <c r="BP58"/>
  <c r="AU58"/>
  <c r="AT58"/>
  <c r="Y58"/>
  <c r="X58"/>
  <c r="Z58"/>
  <c r="GI57"/>
  <c r="GG57"/>
  <c r="GF57"/>
  <c r="FW57"/>
  <c r="EK57"/>
  <c r="EJ57"/>
  <c r="DM57"/>
  <c r="DL57"/>
  <c r="CO57"/>
  <c r="CN57"/>
  <c r="CP57"/>
  <c r="BQ57"/>
  <c r="BP57"/>
  <c r="AU57"/>
  <c r="AT57"/>
  <c r="Y57"/>
  <c r="X57"/>
  <c r="Z57"/>
  <c r="GI56"/>
  <c r="GG56"/>
  <c r="GF56"/>
  <c r="FW56"/>
  <c r="EK56"/>
  <c r="EJ56"/>
  <c r="DM56"/>
  <c r="DL56"/>
  <c r="DN56"/>
  <c r="CO56"/>
  <c r="CN56"/>
  <c r="BQ56"/>
  <c r="BP56"/>
  <c r="BR56"/>
  <c r="AU56"/>
  <c r="AT56"/>
  <c r="Y56"/>
  <c r="X56"/>
  <c r="GI55"/>
  <c r="GG55"/>
  <c r="GF55"/>
  <c r="FW55"/>
  <c r="EK55"/>
  <c r="EJ55"/>
  <c r="EL55"/>
  <c r="DM55"/>
  <c r="DL55"/>
  <c r="CO55"/>
  <c r="CN55"/>
  <c r="BQ55"/>
  <c r="BP55"/>
  <c r="BR55"/>
  <c r="AU55"/>
  <c r="AT55"/>
  <c r="Y55"/>
  <c r="X55"/>
  <c r="Z55"/>
  <c r="GG54"/>
  <c r="GF54"/>
  <c r="EK54"/>
  <c r="EJ54"/>
  <c r="EL54"/>
  <c r="DM54"/>
  <c r="DL54"/>
  <c r="CO54"/>
  <c r="CN54"/>
  <c r="CP54"/>
  <c r="BQ54"/>
  <c r="BP54"/>
  <c r="AU54"/>
  <c r="AT54"/>
  <c r="Y54"/>
  <c r="X54"/>
  <c r="Z54"/>
  <c r="GE53"/>
  <c r="GD53"/>
  <c r="GC53"/>
  <c r="GB53"/>
  <c r="GA53"/>
  <c r="EI53"/>
  <c r="EH53"/>
  <c r="EG53"/>
  <c r="EF53"/>
  <c r="EE53"/>
  <c r="EO53"/>
  <c r="DK53"/>
  <c r="DJ53"/>
  <c r="DI53"/>
  <c r="DH53"/>
  <c r="DG53"/>
  <c r="CM53"/>
  <c r="CL53"/>
  <c r="CK53"/>
  <c r="CJ53"/>
  <c r="CI53"/>
  <c r="BO53"/>
  <c r="BN53"/>
  <c r="BM53"/>
  <c r="BL53"/>
  <c r="BK53"/>
  <c r="BT53"/>
  <c r="AS53"/>
  <c r="AR53"/>
  <c r="AQ53"/>
  <c r="AP53"/>
  <c r="AO53"/>
  <c r="W53"/>
  <c r="V53"/>
  <c r="U53"/>
  <c r="T53"/>
  <c r="S53"/>
  <c r="GI52"/>
  <c r="GG52"/>
  <c r="GF52"/>
  <c r="FW52"/>
  <c r="EK52"/>
  <c r="EJ52"/>
  <c r="DM52"/>
  <c r="DL52"/>
  <c r="DN52"/>
  <c r="CO52"/>
  <c r="CN52"/>
  <c r="BQ52"/>
  <c r="BP52"/>
  <c r="AU52"/>
  <c r="AT52"/>
  <c r="AV52"/>
  <c r="Y52"/>
  <c r="X52"/>
  <c r="GI51"/>
  <c r="GG51"/>
  <c r="GF51"/>
  <c r="GH51"/>
  <c r="FW51"/>
  <c r="EK51"/>
  <c r="EJ51"/>
  <c r="DM51"/>
  <c r="DL51"/>
  <c r="CO51"/>
  <c r="CN51"/>
  <c r="CP51"/>
  <c r="BQ51"/>
  <c r="BP51"/>
  <c r="BR51"/>
  <c r="AU51"/>
  <c r="AT51"/>
  <c r="Y51"/>
  <c r="X51"/>
  <c r="GI50"/>
  <c r="GG50"/>
  <c r="GF50"/>
  <c r="FW50"/>
  <c r="EK50"/>
  <c r="EJ50"/>
  <c r="EL50"/>
  <c r="DM50"/>
  <c r="DL50"/>
  <c r="CO50"/>
  <c r="CN50"/>
  <c r="CP50"/>
  <c r="BQ50"/>
  <c r="BP50"/>
  <c r="AU50"/>
  <c r="AT50"/>
  <c r="Y50"/>
  <c r="X50"/>
  <c r="GI49"/>
  <c r="GG49"/>
  <c r="GF49"/>
  <c r="FW49"/>
  <c r="EK49"/>
  <c r="EJ49"/>
  <c r="DM49"/>
  <c r="DL49"/>
  <c r="DN49"/>
  <c r="CO49"/>
  <c r="CN49"/>
  <c r="BQ49"/>
  <c r="BP49"/>
  <c r="BR49"/>
  <c r="AU49"/>
  <c r="AT49"/>
  <c r="AV49"/>
  <c r="Y49"/>
  <c r="X49"/>
  <c r="GG48"/>
  <c r="GF48"/>
  <c r="GH48"/>
  <c r="EK48"/>
  <c r="EJ48"/>
  <c r="DM48"/>
  <c r="DL48"/>
  <c r="CO48"/>
  <c r="CN48"/>
  <c r="BQ48"/>
  <c r="BP48"/>
  <c r="AU48"/>
  <c r="AT48"/>
  <c r="Y48"/>
  <c r="X48"/>
  <c r="Z48"/>
  <c r="GE47"/>
  <c r="GD47"/>
  <c r="GC47"/>
  <c r="GB47"/>
  <c r="GA47"/>
  <c r="EI47"/>
  <c r="EH47"/>
  <c r="EG47"/>
  <c r="EF47"/>
  <c r="EE47"/>
  <c r="DK47"/>
  <c r="DJ47"/>
  <c r="DI47"/>
  <c r="DH47"/>
  <c r="DG47"/>
  <c r="CM47"/>
  <c r="CL47"/>
  <c r="CK47"/>
  <c r="CJ47"/>
  <c r="CI47"/>
  <c r="BO47"/>
  <c r="BN47"/>
  <c r="BM47"/>
  <c r="BL47"/>
  <c r="BK47"/>
  <c r="AS47"/>
  <c r="AR47"/>
  <c r="AQ47"/>
  <c r="AP47"/>
  <c r="AO47"/>
  <c r="W47"/>
  <c r="V47"/>
  <c r="U47"/>
  <c r="T47"/>
  <c r="S47"/>
  <c r="GI46"/>
  <c r="GG46"/>
  <c r="GF46"/>
  <c r="GH46"/>
  <c r="FW46"/>
  <c r="EK46"/>
  <c r="EJ46"/>
  <c r="DM46"/>
  <c r="DL46"/>
  <c r="CO46"/>
  <c r="CN46"/>
  <c r="BQ46"/>
  <c r="BP46"/>
  <c r="BR46"/>
  <c r="AU46"/>
  <c r="AT46"/>
  <c r="Y46"/>
  <c r="X46"/>
  <c r="Z46"/>
  <c r="GI45"/>
  <c r="GG45"/>
  <c r="GF45"/>
  <c r="GH45"/>
  <c r="FW45"/>
  <c r="EK45"/>
  <c r="EJ45"/>
  <c r="DM45"/>
  <c r="DL45"/>
  <c r="DN45"/>
  <c r="CO45"/>
  <c r="CN45"/>
  <c r="BQ45"/>
  <c r="BP45"/>
  <c r="BR45"/>
  <c r="AU45"/>
  <c r="AT45"/>
  <c r="AV45"/>
  <c r="Y45"/>
  <c r="X45"/>
  <c r="GI44"/>
  <c r="GG44"/>
  <c r="GF44"/>
  <c r="FW44"/>
  <c r="EK44"/>
  <c r="EJ44"/>
  <c r="DM44"/>
  <c r="DL44"/>
  <c r="CO44"/>
  <c r="CN44"/>
  <c r="CP44"/>
  <c r="BQ44"/>
  <c r="BP44"/>
  <c r="AU44"/>
  <c r="AT44"/>
  <c r="Y44"/>
  <c r="X44"/>
  <c r="Z44"/>
  <c r="GI43"/>
  <c r="GG43"/>
  <c r="GF43"/>
  <c r="GH43"/>
  <c r="FW43"/>
  <c r="EK43"/>
  <c r="EJ43"/>
  <c r="DM43"/>
  <c r="DL43"/>
  <c r="CO43"/>
  <c r="CN43"/>
  <c r="BQ43"/>
  <c r="BP43"/>
  <c r="AU43"/>
  <c r="AT43"/>
  <c r="AV43"/>
  <c r="Y43"/>
  <c r="X43"/>
  <c r="Z43"/>
  <c r="GG42"/>
  <c r="GF42"/>
  <c r="EK42"/>
  <c r="EJ42"/>
  <c r="DM42"/>
  <c r="DL42"/>
  <c r="CO42"/>
  <c r="CN42"/>
  <c r="CP42"/>
  <c r="BQ42"/>
  <c r="BP42"/>
  <c r="AU42"/>
  <c r="AT42"/>
  <c r="Y42"/>
  <c r="X42"/>
  <c r="GE41"/>
  <c r="GD41"/>
  <c r="GC41"/>
  <c r="GB41"/>
  <c r="GA41"/>
  <c r="GK41"/>
  <c r="EI41"/>
  <c r="EH41"/>
  <c r="EG41"/>
  <c r="EF41"/>
  <c r="EE41"/>
  <c r="EO41"/>
  <c r="DK41"/>
  <c r="DJ41"/>
  <c r="DI41"/>
  <c r="DH41"/>
  <c r="DG41"/>
  <c r="CM41"/>
  <c r="CL41"/>
  <c r="CK41"/>
  <c r="CJ41"/>
  <c r="CI41"/>
  <c r="CR41"/>
  <c r="BO41"/>
  <c r="BN41"/>
  <c r="BM41"/>
  <c r="BL41"/>
  <c r="BK41"/>
  <c r="BU41"/>
  <c r="AS41"/>
  <c r="AR41"/>
  <c r="AQ41"/>
  <c r="AP41"/>
  <c r="AO41"/>
  <c r="W41"/>
  <c r="V41"/>
  <c r="U41"/>
  <c r="T41"/>
  <c r="S41"/>
  <c r="GI40"/>
  <c r="GG40"/>
  <c r="GF40"/>
  <c r="FW40"/>
  <c r="EK40"/>
  <c r="EJ40"/>
  <c r="EL40"/>
  <c r="DM40"/>
  <c r="DL40"/>
  <c r="CO40"/>
  <c r="CN40"/>
  <c r="BQ40"/>
  <c r="BP40"/>
  <c r="BR40"/>
  <c r="AU40"/>
  <c r="AT40"/>
  <c r="Y40"/>
  <c r="X40"/>
  <c r="Z40"/>
  <c r="GI39"/>
  <c r="GG39"/>
  <c r="GF39"/>
  <c r="FW39"/>
  <c r="EK39"/>
  <c r="EJ39"/>
  <c r="EL39"/>
  <c r="DM39"/>
  <c r="DL39"/>
  <c r="CO39"/>
  <c r="CN39"/>
  <c r="CP39"/>
  <c r="BQ39"/>
  <c r="BP39"/>
  <c r="BR39"/>
  <c r="AU39"/>
  <c r="AT39"/>
  <c r="Y39"/>
  <c r="X39"/>
  <c r="Z39"/>
  <c r="GI38"/>
  <c r="GG38"/>
  <c r="GF38"/>
  <c r="FW38"/>
  <c r="EK38"/>
  <c r="EJ38"/>
  <c r="DM38"/>
  <c r="DL38"/>
  <c r="DN38"/>
  <c r="CO38"/>
  <c r="CN38"/>
  <c r="BQ38"/>
  <c r="BP38"/>
  <c r="AU38"/>
  <c r="AT38"/>
  <c r="AV38"/>
  <c r="Y38"/>
  <c r="X38"/>
  <c r="Z38"/>
  <c r="GI37"/>
  <c r="GG37"/>
  <c r="GF37"/>
  <c r="GH37"/>
  <c r="FW37"/>
  <c r="EK37"/>
  <c r="EJ37"/>
  <c r="DM37"/>
  <c r="DL37"/>
  <c r="CO37"/>
  <c r="CN37"/>
  <c r="BQ37"/>
  <c r="BP37"/>
  <c r="BR37"/>
  <c r="AU37"/>
  <c r="AT37"/>
  <c r="AV37"/>
  <c r="Y37"/>
  <c r="X37"/>
  <c r="Z37"/>
  <c r="GG36"/>
  <c r="GF36"/>
  <c r="EK36"/>
  <c r="EJ36"/>
  <c r="DM36"/>
  <c r="DL36"/>
  <c r="CO36"/>
  <c r="CN36"/>
  <c r="CP36"/>
  <c r="BQ36"/>
  <c r="BP36"/>
  <c r="AU36"/>
  <c r="AT36"/>
  <c r="AV36"/>
  <c r="Y36"/>
  <c r="X36"/>
  <c r="Z36"/>
  <c r="GE35"/>
  <c r="GD35"/>
  <c r="GC35"/>
  <c r="GB35"/>
  <c r="GA35"/>
  <c r="GK35"/>
  <c r="EI35"/>
  <c r="EH35"/>
  <c r="EG35"/>
  <c r="EF35"/>
  <c r="EE35"/>
  <c r="EN35"/>
  <c r="DK35"/>
  <c r="DJ35"/>
  <c r="DI35"/>
  <c r="DH35"/>
  <c r="DG35"/>
  <c r="CM35"/>
  <c r="CL35"/>
  <c r="CK35"/>
  <c r="CJ35"/>
  <c r="CI35"/>
  <c r="BO35"/>
  <c r="BN35"/>
  <c r="BM35"/>
  <c r="BL35"/>
  <c r="BK35"/>
  <c r="AS35"/>
  <c r="AR35"/>
  <c r="AQ35"/>
  <c r="AP35"/>
  <c r="AO35"/>
  <c r="AX35"/>
  <c r="W35"/>
  <c r="V35"/>
  <c r="U35"/>
  <c r="T35"/>
  <c r="S35"/>
  <c r="GI34"/>
  <c r="GG34"/>
  <c r="GF34"/>
  <c r="FW34"/>
  <c r="EK34"/>
  <c r="EJ34"/>
  <c r="DM34"/>
  <c r="DL34"/>
  <c r="CO34"/>
  <c r="CN34"/>
  <c r="CP34"/>
  <c r="BQ34"/>
  <c r="BP34"/>
  <c r="AU34"/>
  <c r="AT34"/>
  <c r="Y34"/>
  <c r="X34"/>
  <c r="Z34"/>
  <c r="GI33"/>
  <c r="GG33"/>
  <c r="GF33"/>
  <c r="FW33"/>
  <c r="EK33"/>
  <c r="EJ33"/>
  <c r="EL33"/>
  <c r="DM33"/>
  <c r="DL33"/>
  <c r="CO33"/>
  <c r="CN33"/>
  <c r="BQ33"/>
  <c r="BP33"/>
  <c r="AU33"/>
  <c r="AT33"/>
  <c r="Y33"/>
  <c r="X33"/>
  <c r="Z33"/>
  <c r="GI32"/>
  <c r="GG32"/>
  <c r="GF32"/>
  <c r="FW32"/>
  <c r="EK32"/>
  <c r="EJ32"/>
  <c r="DM32"/>
  <c r="DL32"/>
  <c r="DN32"/>
  <c r="CO32"/>
  <c r="CN32"/>
  <c r="BQ32"/>
  <c r="BP32"/>
  <c r="AU32"/>
  <c r="AT32"/>
  <c r="Y32"/>
  <c r="X32"/>
  <c r="GI31"/>
  <c r="GG31"/>
  <c r="GF31"/>
  <c r="GH31"/>
  <c r="FW31"/>
  <c r="EK31"/>
  <c r="EJ31"/>
  <c r="EL31"/>
  <c r="DM31"/>
  <c r="DL31"/>
  <c r="CO31"/>
  <c r="CN31"/>
  <c r="CP31"/>
  <c r="BQ31"/>
  <c r="BP31"/>
  <c r="AU31"/>
  <c r="AT31"/>
  <c r="Y31"/>
  <c r="X31"/>
  <c r="GG30"/>
  <c r="GF30"/>
  <c r="GI30"/>
  <c r="FW30"/>
  <c r="EK30"/>
  <c r="EJ30"/>
  <c r="DM30"/>
  <c r="DL30"/>
  <c r="DN30"/>
  <c r="CO30"/>
  <c r="CN30"/>
  <c r="BQ30"/>
  <c r="BP30"/>
  <c r="BR30"/>
  <c r="AU30"/>
  <c r="AT30"/>
  <c r="Y30"/>
  <c r="X30"/>
  <c r="Z30"/>
  <c r="GE29"/>
  <c r="GD29"/>
  <c r="GC29"/>
  <c r="GB29"/>
  <c r="GA29"/>
  <c r="EI29"/>
  <c r="EH29"/>
  <c r="EG29"/>
  <c r="EF29"/>
  <c r="EE29"/>
  <c r="DK29"/>
  <c r="DJ29"/>
  <c r="DI29"/>
  <c r="DH29"/>
  <c r="DG29"/>
  <c r="CM29"/>
  <c r="CL29"/>
  <c r="CK29"/>
  <c r="CJ29"/>
  <c r="CI29"/>
  <c r="BO29"/>
  <c r="BN29"/>
  <c r="BM29"/>
  <c r="BL29"/>
  <c r="BK29"/>
  <c r="AS29"/>
  <c r="AR29"/>
  <c r="AQ29"/>
  <c r="AP29"/>
  <c r="AO29"/>
  <c r="W29"/>
  <c r="V29"/>
  <c r="U29"/>
  <c r="T29"/>
  <c r="S29"/>
  <c r="GI28"/>
  <c r="GG28"/>
  <c r="GF28"/>
  <c r="GH28"/>
  <c r="FW28"/>
  <c r="EK28"/>
  <c r="EJ28"/>
  <c r="DM28"/>
  <c r="DL28"/>
  <c r="CO28"/>
  <c r="CN28"/>
  <c r="BQ28"/>
  <c r="BP28"/>
  <c r="AU28"/>
  <c r="AT28"/>
  <c r="AV28"/>
  <c r="Y28"/>
  <c r="X28"/>
  <c r="GI27"/>
  <c r="GG27"/>
  <c r="GF27"/>
  <c r="FW27"/>
  <c r="EK27"/>
  <c r="EJ27"/>
  <c r="DM27"/>
  <c r="DL27"/>
  <c r="DN27"/>
  <c r="CO27"/>
  <c r="CN27"/>
  <c r="BQ27"/>
  <c r="BP27"/>
  <c r="AU27"/>
  <c r="AT27"/>
  <c r="Y27"/>
  <c r="X27"/>
  <c r="GI26"/>
  <c r="GG26"/>
  <c r="GF26"/>
  <c r="FW26"/>
  <c r="EK26"/>
  <c r="EJ26"/>
  <c r="DM26"/>
  <c r="DL26"/>
  <c r="DN26"/>
  <c r="CO26"/>
  <c r="CN26"/>
  <c r="BQ26"/>
  <c r="BP26"/>
  <c r="BR26"/>
  <c r="AU26"/>
  <c r="AT26"/>
  <c r="Y26"/>
  <c r="X26"/>
  <c r="GI25"/>
  <c r="GG25"/>
  <c r="GF25"/>
  <c r="FW25"/>
  <c r="EK25"/>
  <c r="EJ25"/>
  <c r="DM25"/>
  <c r="DL25"/>
  <c r="DN25"/>
  <c r="CO25"/>
  <c r="CN25"/>
  <c r="BQ25"/>
  <c r="BP25"/>
  <c r="BR25"/>
  <c r="AU25"/>
  <c r="AT25"/>
  <c r="Y25"/>
  <c r="X25"/>
  <c r="GG24"/>
  <c r="GF24"/>
  <c r="EK24"/>
  <c r="EJ24"/>
  <c r="DM24"/>
  <c r="DL24"/>
  <c r="CO24"/>
  <c r="CN24"/>
  <c r="BQ24"/>
  <c r="BP24"/>
  <c r="BR24"/>
  <c r="AU24"/>
  <c r="AT24"/>
  <c r="Y24"/>
  <c r="X24"/>
  <c r="GE23"/>
  <c r="GD23"/>
  <c r="GC23"/>
  <c r="GB23"/>
  <c r="GA23"/>
  <c r="GK23"/>
  <c r="EI23"/>
  <c r="EH23"/>
  <c r="EG23"/>
  <c r="EF23"/>
  <c r="EE23"/>
  <c r="DK23"/>
  <c r="DJ23"/>
  <c r="DI23"/>
  <c r="DH23"/>
  <c r="DG23"/>
  <c r="CM23"/>
  <c r="CL23"/>
  <c r="CK23"/>
  <c r="CJ23"/>
  <c r="CI23"/>
  <c r="CS23"/>
  <c r="BO23"/>
  <c r="BN23"/>
  <c r="BM23"/>
  <c r="BL23"/>
  <c r="BK23"/>
  <c r="AS23"/>
  <c r="AR23"/>
  <c r="AQ23"/>
  <c r="AP23"/>
  <c r="AO23"/>
  <c r="AX23"/>
  <c r="W23"/>
  <c r="V23"/>
  <c r="U23"/>
  <c r="T23"/>
  <c r="S23"/>
  <c r="GI22"/>
  <c r="GG22"/>
  <c r="GF22"/>
  <c r="FW22"/>
  <c r="EK22"/>
  <c r="EJ22"/>
  <c r="DM22"/>
  <c r="DL22"/>
  <c r="CO22"/>
  <c r="CN22"/>
  <c r="BQ22"/>
  <c r="BP22"/>
  <c r="BR22"/>
  <c r="AU22"/>
  <c r="AT22"/>
  <c r="Y22"/>
  <c r="X22"/>
  <c r="Z22"/>
  <c r="GI21"/>
  <c r="GG21"/>
  <c r="GF21"/>
  <c r="FW21"/>
  <c r="EK21"/>
  <c r="EJ21"/>
  <c r="DM21"/>
  <c r="DL21"/>
  <c r="CO21"/>
  <c r="CN21"/>
  <c r="CP21"/>
  <c r="BQ21"/>
  <c r="BP21"/>
  <c r="AU21"/>
  <c r="AT21"/>
  <c r="AV21"/>
  <c r="Y21"/>
  <c r="X21"/>
  <c r="GI20"/>
  <c r="GG20"/>
  <c r="GF20"/>
  <c r="FW20"/>
  <c r="EK20"/>
  <c r="EJ20"/>
  <c r="DM20"/>
  <c r="DL20"/>
  <c r="DN20"/>
  <c r="CO20"/>
  <c r="CN20"/>
  <c r="CP20"/>
  <c r="BQ20"/>
  <c r="BP20"/>
  <c r="BR20"/>
  <c r="AU20"/>
  <c r="AT20"/>
  <c r="Y20"/>
  <c r="X20"/>
  <c r="GI19"/>
  <c r="GG19"/>
  <c r="GF19"/>
  <c r="FW19"/>
  <c r="EK19"/>
  <c r="EJ19"/>
  <c r="EL19"/>
  <c r="DM19"/>
  <c r="DL19"/>
  <c r="CO19"/>
  <c r="CN19"/>
  <c r="BQ19"/>
  <c r="BP19"/>
  <c r="AU19"/>
  <c r="AT19"/>
  <c r="AV19"/>
  <c r="Y19"/>
  <c r="X19"/>
  <c r="GG18"/>
  <c r="GF18"/>
  <c r="EK18"/>
  <c r="EJ18"/>
  <c r="EL18"/>
  <c r="DM18"/>
  <c r="DL18"/>
  <c r="CO18"/>
  <c r="CN18"/>
  <c r="CP18"/>
  <c r="BQ18"/>
  <c r="BP18"/>
  <c r="BR18"/>
  <c r="AU18"/>
  <c r="AT18"/>
  <c r="Y18"/>
  <c r="X18"/>
  <c r="GE17"/>
  <c r="GD17"/>
  <c r="GC17"/>
  <c r="GB17"/>
  <c r="GA17"/>
  <c r="GK17"/>
  <c r="EI17"/>
  <c r="EH17"/>
  <c r="EG17"/>
  <c r="EF17"/>
  <c r="EE17"/>
  <c r="DK17"/>
  <c r="DJ17"/>
  <c r="DI17"/>
  <c r="DH17"/>
  <c r="DG17"/>
  <c r="DP17"/>
  <c r="CM17"/>
  <c r="CL17"/>
  <c r="CK17"/>
  <c r="CJ17"/>
  <c r="CI17"/>
  <c r="CR17"/>
  <c r="BO17"/>
  <c r="BN17"/>
  <c r="BM17"/>
  <c r="BL17"/>
  <c r="BK17"/>
  <c r="AS17"/>
  <c r="AR17"/>
  <c r="AQ17"/>
  <c r="AP17"/>
  <c r="AO17"/>
  <c r="AX17"/>
  <c r="W17"/>
  <c r="V17"/>
  <c r="U17"/>
  <c r="T17"/>
  <c r="S17"/>
  <c r="GI16"/>
  <c r="GG16"/>
  <c r="GF16"/>
  <c r="FW16"/>
  <c r="EK16"/>
  <c r="EJ16"/>
  <c r="EL16"/>
  <c r="DM16"/>
  <c r="DL16"/>
  <c r="CO16"/>
  <c r="CN16"/>
  <c r="BQ16"/>
  <c r="BP16"/>
  <c r="AU16"/>
  <c r="AT16"/>
  <c r="AV16"/>
  <c r="Y16"/>
  <c r="X16"/>
  <c r="GI15"/>
  <c r="GG15"/>
  <c r="GF15"/>
  <c r="FW15"/>
  <c r="EK15"/>
  <c r="EJ15"/>
  <c r="DM15"/>
  <c r="DL15"/>
  <c r="CO15"/>
  <c r="CN15"/>
  <c r="BQ15"/>
  <c r="BP15"/>
  <c r="AU15"/>
  <c r="AT15"/>
  <c r="AV15"/>
  <c r="Y15"/>
  <c r="X15"/>
  <c r="GI14"/>
  <c r="GG14"/>
  <c r="GF14"/>
  <c r="GH14"/>
  <c r="FW14"/>
  <c r="EK14"/>
  <c r="EJ14"/>
  <c r="DM14"/>
  <c r="DL14"/>
  <c r="CO14"/>
  <c r="CN14"/>
  <c r="CP14"/>
  <c r="BQ14"/>
  <c r="BP14"/>
  <c r="AU14"/>
  <c r="AT14"/>
  <c r="Y14"/>
  <c r="X14"/>
  <c r="Z14"/>
  <c r="GI13"/>
  <c r="GG13"/>
  <c r="GF13"/>
  <c r="GH13"/>
  <c r="FW13"/>
  <c r="EK13"/>
  <c r="EJ13"/>
  <c r="DM13"/>
  <c r="DL13"/>
  <c r="CO13"/>
  <c r="CN13"/>
  <c r="CP13"/>
  <c r="BQ13"/>
  <c r="BP13"/>
  <c r="AU13"/>
  <c r="AT13"/>
  <c r="Y13"/>
  <c r="X13"/>
  <c r="Z13"/>
  <c r="GG12"/>
  <c r="GF12"/>
  <c r="EK12"/>
  <c r="EJ12"/>
  <c r="DM12"/>
  <c r="DL12"/>
  <c r="DN12"/>
  <c r="CO12"/>
  <c r="CN12"/>
  <c r="BQ12"/>
  <c r="BP12"/>
  <c r="AU12"/>
  <c r="AT12"/>
  <c r="Y12"/>
  <c r="X12"/>
  <c r="Z12"/>
  <c r="GE11"/>
  <c r="GD11"/>
  <c r="GC11"/>
  <c r="GB11"/>
  <c r="GA11"/>
  <c r="GJ11"/>
  <c r="EI11"/>
  <c r="EH11"/>
  <c r="EG11"/>
  <c r="EF11"/>
  <c r="EE11"/>
  <c r="DK11"/>
  <c r="DJ11"/>
  <c r="DI11"/>
  <c r="DH11"/>
  <c r="DG11"/>
  <c r="DQ11"/>
  <c r="CM11"/>
  <c r="CL11"/>
  <c r="CK11"/>
  <c r="CJ11"/>
  <c r="CI11"/>
  <c r="BO11"/>
  <c r="BN11"/>
  <c r="BM11"/>
  <c r="BL11"/>
  <c r="BK11"/>
  <c r="AS11"/>
  <c r="AR11"/>
  <c r="AQ11"/>
  <c r="AP11"/>
  <c r="AO11"/>
  <c r="AU11"/>
  <c r="W11"/>
  <c r="V11"/>
  <c r="U11"/>
  <c r="T11"/>
  <c r="S11"/>
  <c r="Y11"/>
  <c r="GI10"/>
  <c r="GG10"/>
  <c r="GF10"/>
  <c r="FW10"/>
  <c r="EK10"/>
  <c r="EJ10"/>
  <c r="EL10"/>
  <c r="DM10"/>
  <c r="DL10"/>
  <c r="CO10"/>
  <c r="CN10"/>
  <c r="BQ10"/>
  <c r="BP10"/>
  <c r="AU10"/>
  <c r="AT10"/>
  <c r="AV10"/>
  <c r="Y10"/>
  <c r="X10"/>
  <c r="GI9"/>
  <c r="GG9"/>
  <c r="GF9"/>
  <c r="FW9"/>
  <c r="EK9"/>
  <c r="EJ9"/>
  <c r="EL9"/>
  <c r="DM9"/>
  <c r="DL9"/>
  <c r="CO9"/>
  <c r="CN9"/>
  <c r="BQ9"/>
  <c r="BP9"/>
  <c r="AU9"/>
  <c r="AT9"/>
  <c r="Y9"/>
  <c r="X9"/>
  <c r="Z9"/>
  <c r="GI8"/>
  <c r="GG8"/>
  <c r="GF8"/>
  <c r="FW8"/>
  <c r="EK8"/>
  <c r="EJ8"/>
  <c r="DM8"/>
  <c r="DL8"/>
  <c r="CO8"/>
  <c r="CN8"/>
  <c r="BQ8"/>
  <c r="BP8"/>
  <c r="BR8"/>
  <c r="AU8"/>
  <c r="AT8"/>
  <c r="Y8"/>
  <c r="X8"/>
  <c r="GP7"/>
  <c r="GP8"/>
  <c r="GP9"/>
  <c r="GP10"/>
  <c r="GP11"/>
  <c r="GP12"/>
  <c r="GP13"/>
  <c r="GP14"/>
  <c r="GP15"/>
  <c r="GP16"/>
  <c r="GP17"/>
  <c r="GP18"/>
  <c r="GP19"/>
  <c r="GP20"/>
  <c r="GP21"/>
  <c r="GP22"/>
  <c r="GP23"/>
  <c r="GP24"/>
  <c r="GP25"/>
  <c r="GP26"/>
  <c r="GP27"/>
  <c r="GP28"/>
  <c r="GP29"/>
  <c r="GP30"/>
  <c r="GP31"/>
  <c r="GP32"/>
  <c r="GP33"/>
  <c r="GP34"/>
  <c r="GP35"/>
  <c r="GP36"/>
  <c r="GP37"/>
  <c r="GP38"/>
  <c r="GP39"/>
  <c r="GP40"/>
  <c r="GP41"/>
  <c r="GP42"/>
  <c r="GP43"/>
  <c r="GP44"/>
  <c r="GP45"/>
  <c r="GP46"/>
  <c r="GP47"/>
  <c r="GP48"/>
  <c r="GP49"/>
  <c r="GP50"/>
  <c r="GP51"/>
  <c r="GP52"/>
  <c r="GP53"/>
  <c r="GP54"/>
  <c r="GP55"/>
  <c r="GP56"/>
  <c r="GP57"/>
  <c r="GP58"/>
  <c r="GP59"/>
  <c r="GP60"/>
  <c r="GI7"/>
  <c r="GG7"/>
  <c r="GF7"/>
  <c r="FW7"/>
  <c r="ET7"/>
  <c r="ET8"/>
  <c r="ET9"/>
  <c r="ET10"/>
  <c r="ET11"/>
  <c r="ET12"/>
  <c r="ET13"/>
  <c r="ET14"/>
  <c r="ET15"/>
  <c r="ET16"/>
  <c r="ET17"/>
  <c r="ET18"/>
  <c r="ET19"/>
  <c r="ET20"/>
  <c r="ET21"/>
  <c r="ET22"/>
  <c r="ET23"/>
  <c r="ET24"/>
  <c r="ET25"/>
  <c r="ET26"/>
  <c r="ET27"/>
  <c r="ET28"/>
  <c r="ET29"/>
  <c r="ET30"/>
  <c r="ET31"/>
  <c r="ET32"/>
  <c r="ET33"/>
  <c r="ET34"/>
  <c r="ET35"/>
  <c r="ET36"/>
  <c r="ET37"/>
  <c r="ET38"/>
  <c r="ET39"/>
  <c r="ET40"/>
  <c r="ET41"/>
  <c r="ET42"/>
  <c r="ET43"/>
  <c r="ET44"/>
  <c r="ET45"/>
  <c r="ET46"/>
  <c r="ET47"/>
  <c r="ET48"/>
  <c r="ET49"/>
  <c r="ET50"/>
  <c r="ET51"/>
  <c r="ET52"/>
  <c r="ET53"/>
  <c r="ET54"/>
  <c r="ET55"/>
  <c r="EK7"/>
  <c r="EJ7"/>
  <c r="DV7"/>
  <c r="DV8"/>
  <c r="DV9"/>
  <c r="DV10"/>
  <c r="DV11"/>
  <c r="DV12"/>
  <c r="DV13"/>
  <c r="DV14"/>
  <c r="DV15"/>
  <c r="DV16"/>
  <c r="DV17"/>
  <c r="DV18"/>
  <c r="DV19"/>
  <c r="DV20"/>
  <c r="DV21"/>
  <c r="DV22"/>
  <c r="DV23"/>
  <c r="DV24"/>
  <c r="DV25"/>
  <c r="DV26"/>
  <c r="DV27"/>
  <c r="DV28"/>
  <c r="DV29"/>
  <c r="DV30"/>
  <c r="DV31"/>
  <c r="DV32"/>
  <c r="DV33"/>
  <c r="DV34"/>
  <c r="DV35"/>
  <c r="DV36"/>
  <c r="DV37"/>
  <c r="DV38"/>
  <c r="DV39"/>
  <c r="DV40"/>
  <c r="DV41"/>
  <c r="DV42"/>
  <c r="DV43"/>
  <c r="DV44"/>
  <c r="DV45"/>
  <c r="DV46"/>
  <c r="DV47"/>
  <c r="DV48"/>
  <c r="DV49"/>
  <c r="DV50"/>
  <c r="DV51"/>
  <c r="DV52"/>
  <c r="DV53"/>
  <c r="DV54"/>
  <c r="DV55"/>
  <c r="DM7"/>
  <c r="DL7"/>
  <c r="CX7"/>
  <c r="CX8"/>
  <c r="CX9"/>
  <c r="CX10"/>
  <c r="CX11"/>
  <c r="CX12"/>
  <c r="CX13"/>
  <c r="CX14"/>
  <c r="CX15"/>
  <c r="CX16"/>
  <c r="CX17"/>
  <c r="CX18"/>
  <c r="CX19"/>
  <c r="CX20"/>
  <c r="CX21"/>
  <c r="CX22"/>
  <c r="CX23"/>
  <c r="CX24"/>
  <c r="CX25"/>
  <c r="CX26"/>
  <c r="CX27"/>
  <c r="CX28"/>
  <c r="CX29"/>
  <c r="CX30"/>
  <c r="CX31"/>
  <c r="CX32"/>
  <c r="CX33"/>
  <c r="CX34"/>
  <c r="CX35"/>
  <c r="CX36"/>
  <c r="CX37"/>
  <c r="CX38"/>
  <c r="CX39"/>
  <c r="CX40"/>
  <c r="CX41"/>
  <c r="CX42"/>
  <c r="CX43"/>
  <c r="CX44"/>
  <c r="CX45"/>
  <c r="CX46"/>
  <c r="CX47"/>
  <c r="CX48"/>
  <c r="CX49"/>
  <c r="CX50"/>
  <c r="CX51"/>
  <c r="CX52"/>
  <c r="CX53"/>
  <c r="CX54"/>
  <c r="CX55"/>
  <c r="CO7"/>
  <c r="CN7"/>
  <c r="BZ7"/>
  <c r="BZ8"/>
  <c r="BZ9"/>
  <c r="BZ10"/>
  <c r="BZ11"/>
  <c r="BZ12"/>
  <c r="BZ13"/>
  <c r="BZ14"/>
  <c r="BZ15"/>
  <c r="BZ16"/>
  <c r="BZ17"/>
  <c r="BZ18"/>
  <c r="BZ19"/>
  <c r="BZ20"/>
  <c r="BZ21"/>
  <c r="BZ22"/>
  <c r="BZ23"/>
  <c r="BZ24"/>
  <c r="BZ25"/>
  <c r="BZ26"/>
  <c r="BZ27"/>
  <c r="BZ28"/>
  <c r="BZ29"/>
  <c r="BZ30"/>
  <c r="BZ31"/>
  <c r="BZ32"/>
  <c r="BZ33"/>
  <c r="BZ34"/>
  <c r="BZ35"/>
  <c r="BZ36"/>
  <c r="BZ37"/>
  <c r="BZ38"/>
  <c r="BZ39"/>
  <c r="BZ40"/>
  <c r="BZ41"/>
  <c r="BZ42"/>
  <c r="BZ43"/>
  <c r="BZ44"/>
  <c r="BZ45"/>
  <c r="BZ46"/>
  <c r="BZ47"/>
  <c r="BZ48"/>
  <c r="BZ49"/>
  <c r="BZ50"/>
  <c r="BZ51"/>
  <c r="BZ52"/>
  <c r="BZ53"/>
  <c r="BZ54"/>
  <c r="BZ55"/>
  <c r="BQ7"/>
  <c r="BP7"/>
  <c r="BR7"/>
  <c r="BB7"/>
  <c r="BB8"/>
  <c r="BB9"/>
  <c r="BB10"/>
  <c r="BB11"/>
  <c r="BB12"/>
  <c r="BB13"/>
  <c r="BB14"/>
  <c r="BB15"/>
  <c r="BB16"/>
  <c r="BB17"/>
  <c r="BB18"/>
  <c r="BB19"/>
  <c r="BB20"/>
  <c r="BB21"/>
  <c r="BB22"/>
  <c r="BB23"/>
  <c r="BB24"/>
  <c r="BB25"/>
  <c r="BB26"/>
  <c r="BB27"/>
  <c r="BB28"/>
  <c r="BB29"/>
  <c r="BB30"/>
  <c r="BB31"/>
  <c r="BB32"/>
  <c r="BB33"/>
  <c r="BB34"/>
  <c r="BB35"/>
  <c r="BB36"/>
  <c r="BB37"/>
  <c r="BB38"/>
  <c r="BB39"/>
  <c r="BB40"/>
  <c r="BB41"/>
  <c r="BB42"/>
  <c r="BB43"/>
  <c r="BB44"/>
  <c r="BB45"/>
  <c r="BB46"/>
  <c r="BB47"/>
  <c r="BB48"/>
  <c r="BB49"/>
  <c r="BB50"/>
  <c r="BB51"/>
  <c r="BB52"/>
  <c r="BB53"/>
  <c r="BB54"/>
  <c r="BB55"/>
  <c r="AU7"/>
  <c r="AT7"/>
  <c r="AV7"/>
  <c r="AF7"/>
  <c r="AF8"/>
  <c r="AF9"/>
  <c r="AF10"/>
  <c r="AF11"/>
  <c r="AF12"/>
  <c r="AF13"/>
  <c r="AF14"/>
  <c r="AF15"/>
  <c r="AF16"/>
  <c r="AF17"/>
  <c r="AF18"/>
  <c r="AF19"/>
  <c r="AF20"/>
  <c r="AF21"/>
  <c r="AF22"/>
  <c r="AF23"/>
  <c r="AF24"/>
  <c r="AF25"/>
  <c r="AF26"/>
  <c r="AF27"/>
  <c r="AF28"/>
  <c r="AF29"/>
  <c r="AF30"/>
  <c r="AF31"/>
  <c r="AF32"/>
  <c r="AF33"/>
  <c r="AF34"/>
  <c r="AF35"/>
  <c r="AF36"/>
  <c r="AF37"/>
  <c r="AF38"/>
  <c r="AF39"/>
  <c r="AF40"/>
  <c r="AF41"/>
  <c r="AF42"/>
  <c r="AF43"/>
  <c r="AF44"/>
  <c r="AF45"/>
  <c r="AF46"/>
  <c r="AF47"/>
  <c r="AF48"/>
  <c r="AF49"/>
  <c r="AF50"/>
  <c r="AF51"/>
  <c r="AF52"/>
  <c r="AF53"/>
  <c r="AF54"/>
  <c r="AF55"/>
  <c r="Y7"/>
  <c r="X7"/>
  <c r="GO6"/>
  <c r="GR12"/>
  <c r="GG6"/>
  <c r="GF6"/>
  <c r="GH6"/>
  <c r="EK6"/>
  <c r="EJ6"/>
  <c r="EL6"/>
  <c r="DU6"/>
  <c r="DM6"/>
  <c r="DL6"/>
  <c r="CW6"/>
  <c r="CO6"/>
  <c r="CN6"/>
  <c r="BY6"/>
  <c r="BQ6"/>
  <c r="BP6"/>
  <c r="BR6"/>
  <c r="BA6"/>
  <c r="AU6"/>
  <c r="AT6"/>
  <c r="AE6"/>
  <c r="Y6"/>
  <c r="X6"/>
  <c r="AA40" i="1"/>
  <c r="D40"/>
  <c r="AA38"/>
  <c r="D38"/>
  <c r="V82"/>
  <c r="V46"/>
  <c r="V18"/>
  <c r="V81"/>
  <c r="V42"/>
  <c r="V32"/>
  <c r="V6"/>
  <c r="V65"/>
  <c r="V27"/>
  <c r="V54"/>
  <c r="G76" i="11"/>
  <c r="F76"/>
  <c r="E76"/>
  <c r="D76"/>
  <c r="C76"/>
  <c r="G71"/>
  <c r="F71"/>
  <c r="E71"/>
  <c r="D71"/>
  <c r="C71"/>
  <c r="AT95" i="12"/>
  <c r="AT94"/>
  <c r="K71" i="11"/>
  <c r="AR95" i="12"/>
  <c r="I76" i="11"/>
  <c r="AR94" i="12"/>
  <c r="I71" i="11"/>
  <c r="AL95" i="12"/>
  <c r="AS95"/>
  <c r="AL94"/>
  <c r="H71" i="11"/>
  <c r="AT70" i="12"/>
  <c r="K44" i="11"/>
  <c r="AR70" i="12"/>
  <c r="I44" i="11"/>
  <c r="AL70" i="12"/>
  <c r="H44" i="11"/>
  <c r="V7" i="1"/>
  <c r="Y89"/>
  <c r="Y88"/>
  <c r="Y87"/>
  <c r="Y86"/>
  <c r="Y5"/>
  <c r="Y4"/>
  <c r="V89"/>
  <c r="V88"/>
  <c r="V87"/>
  <c r="V86"/>
  <c r="V70"/>
  <c r="V64"/>
  <c r="V50"/>
  <c r="V49"/>
  <c r="V41"/>
  <c r="V58"/>
  <c r="V52"/>
  <c r="V78"/>
  <c r="V45"/>
  <c r="V74"/>
  <c r="V62"/>
  <c r="V36"/>
  <c r="V35"/>
  <c r="V61"/>
  <c r="V31"/>
  <c r="V71"/>
  <c r="V79"/>
  <c r="V55"/>
  <c r="V44"/>
  <c r="V39"/>
  <c r="V24"/>
  <c r="V85"/>
  <c r="V73"/>
  <c r="V43"/>
  <c r="V69"/>
  <c r="V66"/>
  <c r="V48"/>
  <c r="V34"/>
  <c r="V59"/>
  <c r="V25"/>
  <c r="V15"/>
  <c r="V29"/>
  <c r="V28"/>
  <c r="V14"/>
  <c r="V37"/>
  <c r="V33"/>
  <c r="V26"/>
  <c r="V12"/>
  <c r="V21"/>
  <c r="V20"/>
  <c r="V30"/>
  <c r="V56"/>
  <c r="V8"/>
  <c r="V76"/>
  <c r="V13"/>
  <c r="V17"/>
  <c r="V53"/>
  <c r="V11"/>
  <c r="V19"/>
  <c r="V9"/>
  <c r="V60"/>
  <c r="V23"/>
  <c r="V10"/>
  <c r="V51"/>
  <c r="V5"/>
  <c r="V16"/>
  <c r="V4"/>
  <c r="S89"/>
  <c r="S88"/>
  <c r="S87"/>
  <c r="S86"/>
  <c r="S42"/>
  <c r="S70"/>
  <c r="S64"/>
  <c r="S50"/>
  <c r="S49"/>
  <c r="S41"/>
  <c r="S58"/>
  <c r="S52"/>
  <c r="S78"/>
  <c r="S45"/>
  <c r="S74"/>
  <c r="S62"/>
  <c r="S81"/>
  <c r="S65"/>
  <c r="S46"/>
  <c r="S36"/>
  <c r="S35"/>
  <c r="S61"/>
  <c r="S31"/>
  <c r="S71"/>
  <c r="S32"/>
  <c r="S79"/>
  <c r="S55"/>
  <c r="S44"/>
  <c r="S54"/>
  <c r="S39"/>
  <c r="S6"/>
  <c r="S24"/>
  <c r="S85"/>
  <c r="S73"/>
  <c r="S43"/>
  <c r="S69"/>
  <c r="S66"/>
  <c r="S48"/>
  <c r="S34"/>
  <c r="S59"/>
  <c r="S27"/>
  <c r="S25"/>
  <c r="S15"/>
  <c r="S29"/>
  <c r="S28"/>
  <c r="S14"/>
  <c r="S18"/>
  <c r="S37"/>
  <c r="S33"/>
  <c r="S26"/>
  <c r="S12"/>
  <c r="S21"/>
  <c r="S20"/>
  <c r="S30"/>
  <c r="S82"/>
  <c r="S56"/>
  <c r="S8"/>
  <c r="S76"/>
  <c r="S13"/>
  <c r="S17"/>
  <c r="S53"/>
  <c r="S11"/>
  <c r="S19"/>
  <c r="S7"/>
  <c r="S9"/>
  <c r="S60"/>
  <c r="S23"/>
  <c r="S10"/>
  <c r="S51"/>
  <c r="S5"/>
  <c r="S16"/>
  <c r="S4"/>
  <c r="P89"/>
  <c r="P88"/>
  <c r="P87"/>
  <c r="P86"/>
  <c r="P42"/>
  <c r="P70"/>
  <c r="P64"/>
  <c r="P50"/>
  <c r="P49"/>
  <c r="P41"/>
  <c r="P58"/>
  <c r="P52"/>
  <c r="P78"/>
  <c r="P45"/>
  <c r="P74"/>
  <c r="P62"/>
  <c r="P81"/>
  <c r="P65"/>
  <c r="P36"/>
  <c r="P35"/>
  <c r="P61"/>
  <c r="P31"/>
  <c r="P71"/>
  <c r="P32"/>
  <c r="P79"/>
  <c r="P55"/>
  <c r="P44"/>
  <c r="P54"/>
  <c r="P39"/>
  <c r="P6"/>
  <c r="P24"/>
  <c r="P85"/>
  <c r="P73"/>
  <c r="P43"/>
  <c r="P69"/>
  <c r="P66"/>
  <c r="P48"/>
  <c r="P34"/>
  <c r="P59"/>
  <c r="P27"/>
  <c r="P25"/>
  <c r="P15"/>
  <c r="P29"/>
  <c r="P28"/>
  <c r="P14"/>
  <c r="P37"/>
  <c r="P33"/>
  <c r="P26"/>
  <c r="P12"/>
  <c r="P21"/>
  <c r="P20"/>
  <c r="P30"/>
  <c r="P56"/>
  <c r="P8"/>
  <c r="P76"/>
  <c r="P13"/>
  <c r="P17"/>
  <c r="P53"/>
  <c r="P11"/>
  <c r="P19"/>
  <c r="P7"/>
  <c r="P9"/>
  <c r="P60"/>
  <c r="P23"/>
  <c r="P10"/>
  <c r="P51"/>
  <c r="P5"/>
  <c r="P4"/>
  <c r="P16"/>
  <c r="M89"/>
  <c r="M88"/>
  <c r="M87"/>
  <c r="M86"/>
  <c r="M85"/>
  <c r="M42"/>
  <c r="M70"/>
  <c r="M64"/>
  <c r="M50"/>
  <c r="M49"/>
  <c r="M59"/>
  <c r="M41"/>
  <c r="M58"/>
  <c r="M52"/>
  <c r="M78"/>
  <c r="M45"/>
  <c r="M74"/>
  <c r="M62"/>
  <c r="M81"/>
  <c r="M43"/>
  <c r="M30"/>
  <c r="M51"/>
  <c r="M82"/>
  <c r="M65"/>
  <c r="M46"/>
  <c r="M36"/>
  <c r="M29"/>
  <c r="M35"/>
  <c r="M61"/>
  <c r="M18"/>
  <c r="M76"/>
  <c r="M26"/>
  <c r="M31"/>
  <c r="M71"/>
  <c r="M73"/>
  <c r="M28"/>
  <c r="M14"/>
  <c r="M34"/>
  <c r="M53"/>
  <c r="M66"/>
  <c r="M56"/>
  <c r="M33"/>
  <c r="M32"/>
  <c r="M79"/>
  <c r="M23"/>
  <c r="M19"/>
  <c r="M17"/>
  <c r="M69"/>
  <c r="M55"/>
  <c r="M44"/>
  <c r="M25"/>
  <c r="M37"/>
  <c r="M48"/>
  <c r="M54"/>
  <c r="M20"/>
  <c r="M39"/>
  <c r="M60"/>
  <c r="M6"/>
  <c r="M21"/>
  <c r="M27"/>
  <c r="M24"/>
  <c r="M13"/>
  <c r="M12"/>
  <c r="M15"/>
  <c r="M10"/>
  <c r="M16"/>
  <c r="M8"/>
  <c r="M11"/>
  <c r="M7"/>
  <c r="M9"/>
  <c r="M4"/>
  <c r="M5"/>
  <c r="J89"/>
  <c r="J88"/>
  <c r="J87"/>
  <c r="J86"/>
  <c r="J85"/>
  <c r="J71"/>
  <c r="J79"/>
  <c r="J42"/>
  <c r="J61"/>
  <c r="J70"/>
  <c r="J23"/>
  <c r="J64"/>
  <c r="J36"/>
  <c r="J53"/>
  <c r="J50"/>
  <c r="J48"/>
  <c r="J49"/>
  <c r="J59"/>
  <c r="J41"/>
  <c r="J54"/>
  <c r="J58"/>
  <c r="J10"/>
  <c r="J52"/>
  <c r="J78"/>
  <c r="J45"/>
  <c r="J73"/>
  <c r="J74"/>
  <c r="J34"/>
  <c r="J82"/>
  <c r="J46"/>
  <c r="J27"/>
  <c r="J65"/>
  <c r="J62"/>
  <c r="J66"/>
  <c r="J81"/>
  <c r="J28"/>
  <c r="J56"/>
  <c r="J43"/>
  <c r="J69"/>
  <c r="J15"/>
  <c r="J31"/>
  <c r="J24"/>
  <c r="J12"/>
  <c r="J44"/>
  <c r="J20"/>
  <c r="J39"/>
  <c r="J14"/>
  <c r="J76"/>
  <c r="J18"/>
  <c r="J26"/>
  <c r="J37"/>
  <c r="J60"/>
  <c r="J32"/>
  <c r="J33"/>
  <c r="J25"/>
  <c r="J29"/>
  <c r="J19"/>
  <c r="J55"/>
  <c r="J21"/>
  <c r="J30"/>
  <c r="J17"/>
  <c r="J35"/>
  <c r="J16"/>
  <c r="J13"/>
  <c r="J8"/>
  <c r="J11"/>
  <c r="J51"/>
  <c r="J9"/>
  <c r="J5"/>
  <c r="J7"/>
  <c r="J6"/>
  <c r="J4"/>
  <c r="G89"/>
  <c r="G88"/>
  <c r="G87"/>
  <c r="G86"/>
  <c r="G85"/>
  <c r="G71"/>
  <c r="G79"/>
  <c r="AB79"/>
  <c r="G78"/>
  <c r="G45"/>
  <c r="G82"/>
  <c r="G62"/>
  <c r="AB62"/>
  <c r="AA62"/>
  <c r="AE62"/>
  <c r="AD62"/>
  <c r="AC62"/>
  <c r="G81"/>
  <c r="G69"/>
  <c r="G74"/>
  <c r="G42"/>
  <c r="G61"/>
  <c r="G70"/>
  <c r="G23"/>
  <c r="G24"/>
  <c r="G64"/>
  <c r="G36"/>
  <c r="G53"/>
  <c r="G60"/>
  <c r="AB60"/>
  <c r="G11"/>
  <c r="AB11"/>
  <c r="G50"/>
  <c r="AB50"/>
  <c r="G48"/>
  <c r="G28"/>
  <c r="G43"/>
  <c r="G49"/>
  <c r="G73"/>
  <c r="G46"/>
  <c r="AB46"/>
  <c r="G59"/>
  <c r="G76"/>
  <c r="AB76"/>
  <c r="AD76"/>
  <c r="AC76"/>
  <c r="G34"/>
  <c r="G65"/>
  <c r="G35"/>
  <c r="G30"/>
  <c r="G44"/>
  <c r="AB44"/>
  <c r="G27"/>
  <c r="G18"/>
  <c r="AB18"/>
  <c r="G66"/>
  <c r="G26"/>
  <c r="G56"/>
  <c r="G29"/>
  <c r="G41"/>
  <c r="G39"/>
  <c r="G54"/>
  <c r="G19"/>
  <c r="AB19"/>
  <c r="G32"/>
  <c r="G55"/>
  <c r="G20"/>
  <c r="G6"/>
  <c r="G31"/>
  <c r="G13"/>
  <c r="G37"/>
  <c r="G17"/>
  <c r="G8"/>
  <c r="G15"/>
  <c r="G14"/>
  <c r="G25"/>
  <c r="G58"/>
  <c r="G16"/>
  <c r="G4"/>
  <c r="G33"/>
  <c r="G9"/>
  <c r="G21"/>
  <c r="G12"/>
  <c r="AB12"/>
  <c r="G10"/>
  <c r="G51"/>
  <c r="G52"/>
  <c r="G5"/>
  <c r="AA4"/>
  <c r="D4"/>
  <c r="AA51"/>
  <c r="D51"/>
  <c r="AA7"/>
  <c r="D7"/>
  <c r="AA5"/>
  <c r="D5"/>
  <c r="AA9"/>
  <c r="D9"/>
  <c r="AA16"/>
  <c r="D16"/>
  <c r="AA10"/>
  <c r="D10"/>
  <c r="AA11"/>
  <c r="D11"/>
  <c r="AA6"/>
  <c r="D6"/>
  <c r="AA8"/>
  <c r="D8"/>
  <c r="AA13"/>
  <c r="D13"/>
  <c r="AA21"/>
  <c r="D21"/>
  <c r="AA17"/>
  <c r="D17"/>
  <c r="AA12"/>
  <c r="D12"/>
  <c r="AA19"/>
  <c r="D19"/>
  <c r="AA23"/>
  <c r="D23"/>
  <c r="AA55"/>
  <c r="D55"/>
  <c r="AA37"/>
  <c r="D37"/>
  <c r="AA25"/>
  <c r="D25"/>
  <c r="AA30"/>
  <c r="D30"/>
  <c r="AA15"/>
  <c r="D15"/>
  <c r="AA33"/>
  <c r="D33"/>
  <c r="AA24"/>
  <c r="D24"/>
  <c r="AA14"/>
  <c r="D14"/>
  <c r="AA20"/>
  <c r="D20"/>
  <c r="AA32"/>
  <c r="D32"/>
  <c r="AA39"/>
  <c r="D39"/>
  <c r="D54"/>
  <c r="AA44"/>
  <c r="D44"/>
  <c r="AA26"/>
  <c r="D26"/>
  <c r="AA35"/>
  <c r="D35"/>
  <c r="AA27"/>
  <c r="D27"/>
  <c r="AA18"/>
  <c r="D18"/>
  <c r="AA56"/>
  <c r="D56"/>
  <c r="AA29"/>
  <c r="D29"/>
  <c r="AA31"/>
  <c r="D31"/>
  <c r="AA34"/>
  <c r="D34"/>
  <c r="AA28"/>
  <c r="D28"/>
  <c r="AA66"/>
  <c r="D66"/>
  <c r="AA48"/>
  <c r="D48"/>
  <c r="AA59"/>
  <c r="D59"/>
  <c r="AA65"/>
  <c r="D65"/>
  <c r="AA46"/>
  <c r="D46"/>
  <c r="AA82"/>
  <c r="D82"/>
  <c r="AA73"/>
  <c r="D73"/>
  <c r="AA43"/>
  <c r="D43"/>
  <c r="AA52"/>
  <c r="D52"/>
  <c r="AA64"/>
  <c r="D64"/>
  <c r="AA41"/>
  <c r="D41"/>
  <c r="AA36"/>
  <c r="D36"/>
  <c r="AA81"/>
  <c r="D81"/>
  <c r="D62"/>
  <c r="AA45"/>
  <c r="D45"/>
  <c r="AA42"/>
  <c r="D42"/>
  <c r="H66" i="12"/>
  <c r="C53" i="11"/>
  <c r="H117" i="12"/>
  <c r="C94" i="11"/>
  <c r="H116" i="12"/>
  <c r="H115"/>
  <c r="H118"/>
  <c r="C82" i="11"/>
  <c r="T119" i="12"/>
  <c r="E101" i="11"/>
  <c r="T118" i="12"/>
  <c r="E82" i="11"/>
  <c r="T117" i="12"/>
  <c r="E94" i="11"/>
  <c r="N119" i="12"/>
  <c r="D101" i="11"/>
  <c r="N118" i="12"/>
  <c r="D82" i="11"/>
  <c r="N117" i="12"/>
  <c r="D94" i="11"/>
  <c r="H119" i="12"/>
  <c r="C101" i="11"/>
  <c r="Z119" i="12"/>
  <c r="F101" i="11"/>
  <c r="Z118" i="12"/>
  <c r="F82" i="11"/>
  <c r="Z117" i="12"/>
  <c r="F94" i="11"/>
  <c r="AT119" i="12"/>
  <c r="AT118"/>
  <c r="K82" i="11"/>
  <c r="AT117" i="12"/>
  <c r="K94" i="11"/>
  <c r="AR119" i="12"/>
  <c r="I101" i="11"/>
  <c r="AL119" i="12"/>
  <c r="H101" i="11"/>
  <c r="AF119" i="12"/>
  <c r="G101" i="11"/>
  <c r="AR118" i="12"/>
  <c r="I82" i="11"/>
  <c r="AL118" i="12"/>
  <c r="AF118"/>
  <c r="G82" i="11"/>
  <c r="AR117" i="12"/>
  <c r="I94" i="11"/>
  <c r="AL117" i="12"/>
  <c r="H94" i="11"/>
  <c r="AF117" i="12"/>
  <c r="G94" i="11"/>
  <c r="Z93" i="12"/>
  <c r="F78" i="11"/>
  <c r="T93" i="12"/>
  <c r="E78" i="11"/>
  <c r="N93" i="12"/>
  <c r="D78" i="11"/>
  <c r="H93" i="12"/>
  <c r="C78" i="11"/>
  <c r="AT93" i="12"/>
  <c r="AR93"/>
  <c r="I78" i="11"/>
  <c r="AL93" i="12"/>
  <c r="H78" i="11"/>
  <c r="AF93" i="12"/>
  <c r="G78" i="11"/>
  <c r="F47"/>
  <c r="E47"/>
  <c r="D47"/>
  <c r="C47"/>
  <c r="F56"/>
  <c r="E56"/>
  <c r="D56"/>
  <c r="C56"/>
  <c r="AT69" i="12"/>
  <c r="K47" i="11"/>
  <c r="AT68" i="12"/>
  <c r="K56" i="11"/>
  <c r="AR69" i="12"/>
  <c r="I47" i="11"/>
  <c r="AR68" i="12"/>
  <c r="I56" i="11"/>
  <c r="AL69" i="12"/>
  <c r="H47" i="11"/>
  <c r="AL68" i="12"/>
  <c r="H56" i="11"/>
  <c r="AF69" i="12"/>
  <c r="G47" i="11"/>
  <c r="AF68" i="12"/>
  <c r="AT92"/>
  <c r="AR92"/>
  <c r="I79" i="11"/>
  <c r="AL92" i="12"/>
  <c r="H79" i="11"/>
  <c r="AF92" i="12"/>
  <c r="G79" i="11"/>
  <c r="Z92" i="12"/>
  <c r="F79" i="11"/>
  <c r="T92" i="12"/>
  <c r="E79" i="11"/>
  <c r="N92" i="12"/>
  <c r="D79" i="11"/>
  <c r="H92" i="12"/>
  <c r="C79" i="11"/>
  <c r="AT115" i="12"/>
  <c r="K96" i="11"/>
  <c r="T115" i="12"/>
  <c r="E96" i="11"/>
  <c r="C96"/>
  <c r="AT102" i="12"/>
  <c r="T102"/>
  <c r="E98" i="11"/>
  <c r="AT116" i="12"/>
  <c r="K88" i="11"/>
  <c r="T116" i="12"/>
  <c r="E88" i="11"/>
  <c r="C88"/>
  <c r="AT112" i="12"/>
  <c r="T112"/>
  <c r="E99" i="11"/>
  <c r="AT62" i="12"/>
  <c r="K46" i="11"/>
  <c r="AT59" i="12"/>
  <c r="AT63"/>
  <c r="K49" i="11"/>
  <c r="H63" i="12"/>
  <c r="C49" i="11"/>
  <c r="N63" i="12"/>
  <c r="D49" i="11"/>
  <c r="T63" i="12"/>
  <c r="E49" i="11"/>
  <c r="Z63" i="12"/>
  <c r="F49" i="11"/>
  <c r="AF63" i="12"/>
  <c r="G49" i="11"/>
  <c r="AL63" i="12"/>
  <c r="H49" i="11"/>
  <c r="AR63" i="12"/>
  <c r="I49" i="11"/>
  <c r="J49"/>
  <c r="L49"/>
  <c r="AT61" i="12"/>
  <c r="K58" i="11"/>
  <c r="AT58" i="12"/>
  <c r="K51" i="11"/>
  <c r="T58" i="12"/>
  <c r="E51" i="11"/>
  <c r="T62" i="12"/>
  <c r="E46" i="11"/>
  <c r="T59" i="12"/>
  <c r="E60" i="11"/>
  <c r="T61" i="12"/>
  <c r="E58" i="11"/>
  <c r="AT39" i="12"/>
  <c r="K33" i="11"/>
  <c r="AT44" i="12"/>
  <c r="K25" i="11"/>
  <c r="T39" i="12"/>
  <c r="E33" i="11"/>
  <c r="T44" i="12"/>
  <c r="E25" i="11"/>
  <c r="AT16" i="12"/>
  <c r="K20" i="11"/>
  <c r="T16" i="12"/>
  <c r="E20" i="11"/>
  <c r="AT27" i="12"/>
  <c r="K19" i="11"/>
  <c r="T27" i="12"/>
  <c r="E19" i="11"/>
  <c r="AT23" i="12"/>
  <c r="K18" i="11"/>
  <c r="T23" i="12"/>
  <c r="E18" i="11"/>
  <c r="N116" i="12"/>
  <c r="D88" i="11"/>
  <c r="Z116" i="12"/>
  <c r="F88" i="11"/>
  <c r="AF116" i="12"/>
  <c r="G88" i="11"/>
  <c r="AL116" i="12"/>
  <c r="H88" i="11"/>
  <c r="AR116" i="12"/>
  <c r="I88" i="11"/>
  <c r="N115" i="12"/>
  <c r="Z115"/>
  <c r="F96" i="11"/>
  <c r="AF115" i="12"/>
  <c r="G96" i="11"/>
  <c r="AL115" i="12"/>
  <c r="H96" i="11"/>
  <c r="AR115" i="12"/>
  <c r="I96" i="11"/>
  <c r="AT66" i="12"/>
  <c r="K53" i="11"/>
  <c r="N66" i="12"/>
  <c r="D53" i="11"/>
  <c r="T66" i="12"/>
  <c r="E53" i="11"/>
  <c r="Z66" i="12"/>
  <c r="F53" i="11"/>
  <c r="AF66" i="12"/>
  <c r="G53" i="11"/>
  <c r="AL66" i="12"/>
  <c r="H53" i="11"/>
  <c r="AR66" i="12"/>
  <c r="I53" i="11"/>
  <c r="AT113" i="12"/>
  <c r="K89" i="11"/>
  <c r="N113" i="12"/>
  <c r="D89" i="11"/>
  <c r="T113" i="12"/>
  <c r="E89" i="11"/>
  <c r="AT104" i="12"/>
  <c r="K93" i="11"/>
  <c r="AT109" i="12"/>
  <c r="K85" i="11"/>
  <c r="N104" i="12"/>
  <c r="D93" i="11"/>
  <c r="T104" i="12"/>
  <c r="E93" i="11"/>
  <c r="N109" i="12"/>
  <c r="D85" i="11"/>
  <c r="T109" i="12"/>
  <c r="E85" i="11"/>
  <c r="AT110" i="12"/>
  <c r="K83" i="11"/>
  <c r="N110" i="12"/>
  <c r="D83" i="11"/>
  <c r="T110" i="12"/>
  <c r="E83" i="11"/>
  <c r="AT42" i="12"/>
  <c r="K24" i="11"/>
  <c r="N42" i="12"/>
  <c r="D24" i="11"/>
  <c r="T42" i="12"/>
  <c r="E24" i="11"/>
  <c r="AT28" i="12"/>
  <c r="K10" i="11"/>
  <c r="AF28" i="12"/>
  <c r="G10" i="11"/>
  <c r="Z28" i="12"/>
  <c r="F10" i="11"/>
  <c r="T28" i="12"/>
  <c r="E10" i="11"/>
  <c r="N28" i="12"/>
  <c r="D10" i="11"/>
  <c r="H28" i="12"/>
  <c r="C10" i="11"/>
  <c r="AL28" i="12"/>
  <c r="H10" i="11"/>
  <c r="AR28" i="12"/>
  <c r="I10" i="11"/>
  <c r="J10"/>
  <c r="Z57" i="12"/>
  <c r="AT111"/>
  <c r="K84" i="11"/>
  <c r="AT87" i="12"/>
  <c r="K75" i="11"/>
  <c r="AT82" i="12"/>
  <c r="K68" i="11"/>
  <c r="AT60" i="12"/>
  <c r="K43" i="11"/>
  <c r="AF65" i="12"/>
  <c r="G57" i="11"/>
  <c r="Z65" i="12"/>
  <c r="F57" i="11"/>
  <c r="N65" i="12"/>
  <c r="AF64"/>
  <c r="G41" i="11"/>
  <c r="N64" i="12"/>
  <c r="D41" i="11"/>
  <c r="H65" i="12"/>
  <c r="C57" i="11"/>
  <c r="H64" i="12"/>
  <c r="C41" i="11"/>
  <c r="AT65" i="12"/>
  <c r="K57" i="11"/>
  <c r="AT64" i="12"/>
  <c r="K41" i="11"/>
  <c r="AR65" i="12"/>
  <c r="I57" i="11"/>
  <c r="AR64" i="12"/>
  <c r="I41" i="11"/>
  <c r="AL65" i="12"/>
  <c r="H57" i="11"/>
  <c r="AL64" i="12"/>
  <c r="H41" i="11"/>
  <c r="Z64" i="12"/>
  <c r="F41" i="11"/>
  <c r="T65" i="12"/>
  <c r="E57" i="11"/>
  <c r="T64" i="12"/>
  <c r="N85"/>
  <c r="AR27"/>
  <c r="I19" i="11"/>
  <c r="AL27" i="12"/>
  <c r="H19" i="11"/>
  <c r="AF27" i="12"/>
  <c r="G19" i="11"/>
  <c r="Z27" i="12"/>
  <c r="F19" i="11"/>
  <c r="Z26" i="12"/>
  <c r="F14" i="11"/>
  <c r="T26" i="12"/>
  <c r="E14" i="11"/>
  <c r="T25" i="12"/>
  <c r="T24"/>
  <c r="E11" i="11"/>
  <c r="N27" i="12"/>
  <c r="D19" i="11"/>
  <c r="H27" i="12"/>
  <c r="C19" i="11"/>
  <c r="J19"/>
  <c r="L19"/>
  <c r="N26" i="12"/>
  <c r="D14" i="11"/>
  <c r="N25" i="12"/>
  <c r="D16" i="11"/>
  <c r="N24" i="12"/>
  <c r="D11" i="11"/>
  <c r="N23" i="12"/>
  <c r="D18" i="11"/>
  <c r="N22" i="12"/>
  <c r="H26"/>
  <c r="C14" i="11"/>
  <c r="H25" i="12"/>
  <c r="C16" i="11"/>
  <c r="H24" i="12"/>
  <c r="C11" i="11"/>
  <c r="H23" i="12"/>
  <c r="C18" i="11"/>
  <c r="H22" i="12"/>
  <c r="H21"/>
  <c r="H20"/>
  <c r="C15" i="11"/>
  <c r="Z45" i="12"/>
  <c r="F30" i="11"/>
  <c r="T45" i="12"/>
  <c r="E30" i="11"/>
  <c r="N45" i="12"/>
  <c r="D30" i="11"/>
  <c r="N44" i="12"/>
  <c r="N43"/>
  <c r="H45"/>
  <c r="C30" i="11"/>
  <c r="H44" i="12"/>
  <c r="C25" i="11"/>
  <c r="H43" i="12"/>
  <c r="C36" i="11"/>
  <c r="H42" i="12"/>
  <c r="AR62"/>
  <c r="I46" i="11"/>
  <c r="AR61" i="12"/>
  <c r="I58" i="11"/>
  <c r="AL62" i="12"/>
  <c r="H46" i="11"/>
  <c r="AL61" i="12"/>
  <c r="H58" i="11"/>
  <c r="AF62" i="12"/>
  <c r="G46" i="11"/>
  <c r="AF61" i="12"/>
  <c r="G58" i="11"/>
  <c r="Z62" i="12"/>
  <c r="F46" i="11"/>
  <c r="Z61" i="12"/>
  <c r="F58" i="11"/>
  <c r="Z60" i="12"/>
  <c r="F43" i="11"/>
  <c r="T60" i="12"/>
  <c r="E43" i="11"/>
  <c r="N62" i="12"/>
  <c r="D46" i="11"/>
  <c r="H62" i="12"/>
  <c r="C46" i="11"/>
  <c r="N61" i="12"/>
  <c r="D58" i="11"/>
  <c r="N60" i="12"/>
  <c r="D43" i="11"/>
  <c r="N59" i="12"/>
  <c r="D60" i="11"/>
  <c r="N58" i="12"/>
  <c r="D51" i="11"/>
  <c r="H58" i="12"/>
  <c r="C51" i="11"/>
  <c r="Z58" i="12"/>
  <c r="F51" i="11"/>
  <c r="AF58" i="12"/>
  <c r="G51" i="11"/>
  <c r="AL58" i="12"/>
  <c r="H51" i="11"/>
  <c r="AR58" i="12"/>
  <c r="I51" i="11"/>
  <c r="J51"/>
  <c r="L51"/>
  <c r="H61" i="12"/>
  <c r="C58" i="11"/>
  <c r="J58"/>
  <c r="L58"/>
  <c r="H60" i="12"/>
  <c r="H59"/>
  <c r="C60" i="11"/>
  <c r="AT91" i="12"/>
  <c r="AR91"/>
  <c r="I80" i="11"/>
  <c r="AL91" i="12"/>
  <c r="H80" i="11"/>
  <c r="AF91" i="12"/>
  <c r="G80" i="11"/>
  <c r="Z91" i="12"/>
  <c r="F80" i="11"/>
  <c r="T91" i="12"/>
  <c r="E80" i="11"/>
  <c r="N91" i="12"/>
  <c r="D80" i="11"/>
  <c r="N90" i="12"/>
  <c r="N89"/>
  <c r="N88"/>
  <c r="D63" i="11"/>
  <c r="H88" i="12"/>
  <c r="C63" i="11"/>
  <c r="T88" i="12"/>
  <c r="E63" i="11"/>
  <c r="Z88" i="12"/>
  <c r="F63" i="11"/>
  <c r="AF88" i="12"/>
  <c r="G63" i="11"/>
  <c r="AL88" i="12"/>
  <c r="H63" i="11"/>
  <c r="AR88" i="12"/>
  <c r="I63" i="11"/>
  <c r="J63"/>
  <c r="N87" i="12"/>
  <c r="H91"/>
  <c r="C80" i="11"/>
  <c r="H90" i="12"/>
  <c r="C73" i="11"/>
  <c r="H89" i="12"/>
  <c r="C77" i="11"/>
  <c r="H87" i="12"/>
  <c r="C75" i="11"/>
  <c r="H86" i="12"/>
  <c r="C74" i="11"/>
  <c r="T114" i="12"/>
  <c r="E91" i="11"/>
  <c r="N114" i="12"/>
  <c r="D91" i="11"/>
  <c r="N112" i="12"/>
  <c r="D99" i="11"/>
  <c r="H114" i="12"/>
  <c r="C91" i="11"/>
  <c r="H113" i="12"/>
  <c r="C89" i="11"/>
  <c r="H112" i="12"/>
  <c r="H111"/>
  <c r="C84" i="11"/>
  <c r="H110" i="12"/>
  <c r="C83" i="11"/>
  <c r="H109" i="12"/>
  <c r="C85" i="11"/>
  <c r="AT35" i="12"/>
  <c r="AT43"/>
  <c r="K36" i="11"/>
  <c r="AT36" i="12"/>
  <c r="AT33"/>
  <c r="AT38"/>
  <c r="AT37"/>
  <c r="K29" i="11"/>
  <c r="AT40" i="12"/>
  <c r="AT45"/>
  <c r="K30" i="11"/>
  <c r="AT34" i="12"/>
  <c r="K32" i="11"/>
  <c r="H35" i="12"/>
  <c r="C28" i="11"/>
  <c r="H36" i="12"/>
  <c r="H33"/>
  <c r="C27" i="11"/>
  <c r="H38" i="12"/>
  <c r="H37"/>
  <c r="H40"/>
  <c r="H34"/>
  <c r="C32" i="11"/>
  <c r="AF60" i="12"/>
  <c r="G43" i="11"/>
  <c r="AF45" i="12"/>
  <c r="G30" i="11"/>
  <c r="AL45" i="12"/>
  <c r="H30" i="11"/>
  <c r="AR45" i="12"/>
  <c r="I30" i="11"/>
  <c r="J30"/>
  <c r="AT26" i="12"/>
  <c r="K14" i="11"/>
  <c r="AR26" i="12"/>
  <c r="I14" i="11"/>
  <c r="AL26" i="12"/>
  <c r="H14" i="11"/>
  <c r="AF26" i="12"/>
  <c r="AF44"/>
  <c r="G25" i="11"/>
  <c r="E16"/>
  <c r="AT114" i="12"/>
  <c r="K91" i="11"/>
  <c r="AR114" i="12"/>
  <c r="I91" i="11"/>
  <c r="Z114" i="12"/>
  <c r="F91" i="11"/>
  <c r="AF114" i="12"/>
  <c r="G91" i="11"/>
  <c r="AL114" i="12"/>
  <c r="H91" i="11"/>
  <c r="J91"/>
  <c r="AR113" i="12"/>
  <c r="I89" i="11"/>
  <c r="AL113" i="12"/>
  <c r="H89" i="11"/>
  <c r="AF113" i="12"/>
  <c r="G89" i="11"/>
  <c r="Z113" i="12"/>
  <c r="F89" i="11"/>
  <c r="AR60" i="12"/>
  <c r="I43" i="11"/>
  <c r="AR59" i="12"/>
  <c r="I60" i="11"/>
  <c r="AL60" i="12"/>
  <c r="H43" i="11"/>
  <c r="AL59" i="12"/>
  <c r="H60" i="11"/>
  <c r="AF59" i="12"/>
  <c r="G60" i="11"/>
  <c r="Z59" i="12"/>
  <c r="F60" i="11"/>
  <c r="AR44" i="12"/>
  <c r="I25" i="11"/>
  <c r="AL44" i="12"/>
  <c r="H25" i="11"/>
  <c r="Z44" i="12"/>
  <c r="F25" i="11"/>
  <c r="AR25" i="12"/>
  <c r="I16" i="11"/>
  <c r="AR24" i="12"/>
  <c r="I11" i="11"/>
  <c r="AR23" i="12"/>
  <c r="I18" i="11"/>
  <c r="AL25" i="12"/>
  <c r="H16" i="11"/>
  <c r="AL24" i="12"/>
  <c r="H11" i="11"/>
  <c r="AL23" i="12"/>
  <c r="H18" i="11"/>
  <c r="AF25" i="12"/>
  <c r="G16" i="11"/>
  <c r="AF24" i="12"/>
  <c r="G11" i="11"/>
  <c r="AF23" i="12"/>
  <c r="G18" i="11"/>
  <c r="AT25" i="12"/>
  <c r="K16" i="11"/>
  <c r="AT24" i="12"/>
  <c r="K11" i="11"/>
  <c r="Z25" i="12"/>
  <c r="Z24"/>
  <c r="F11" i="11"/>
  <c r="Z23" i="12"/>
  <c r="F18" i="11"/>
  <c r="AF112" i="12"/>
  <c r="G99" i="11"/>
  <c r="AR112" i="12"/>
  <c r="I99" i="11"/>
  <c r="AL112" i="12"/>
  <c r="H99" i="11"/>
  <c r="Z112" i="12"/>
  <c r="F99" i="11"/>
  <c r="Z99" i="12"/>
  <c r="AF99"/>
  <c r="G81" i="11"/>
  <c r="Z110" i="12"/>
  <c r="F83" i="11"/>
  <c r="Z101" i="12"/>
  <c r="Z104"/>
  <c r="F93" i="11"/>
  <c r="AF104" i="12"/>
  <c r="G93" i="11"/>
  <c r="Z108" i="12"/>
  <c r="F95" i="11"/>
  <c r="AF108" i="12"/>
  <c r="G95" i="11"/>
  <c r="Z105" i="12"/>
  <c r="AF105"/>
  <c r="Z102"/>
  <c r="F98" i="11"/>
  <c r="T90" i="12"/>
  <c r="E73" i="11"/>
  <c r="AT88" i="12"/>
  <c r="K63" i="11"/>
  <c r="AT90" i="12"/>
  <c r="K73" i="11"/>
  <c r="AR90" i="12"/>
  <c r="I73" i="11"/>
  <c r="AF90" i="12"/>
  <c r="G73" i="11"/>
  <c r="Z90" i="12"/>
  <c r="F73" i="11"/>
  <c r="AL90" i="12"/>
  <c r="H73" i="11"/>
  <c r="AT89" i="12"/>
  <c r="AR89"/>
  <c r="I77" i="11"/>
  <c r="AL89" i="12"/>
  <c r="H77" i="11"/>
  <c r="AF89" i="12"/>
  <c r="G77" i="11"/>
  <c r="Z89" i="12"/>
  <c r="F77" i="11"/>
  <c r="T89" i="12"/>
  <c r="E77" i="11"/>
  <c r="AR87" i="12"/>
  <c r="I75" i="11"/>
  <c r="AL87" i="12"/>
  <c r="H75" i="11"/>
  <c r="AF87" i="12"/>
  <c r="G75" i="11"/>
  <c r="Z87" i="12"/>
  <c r="F75" i="11"/>
  <c r="T87" i="12"/>
  <c r="E75" i="11"/>
  <c r="Z55" i="12"/>
  <c r="F55" i="11"/>
  <c r="AF55" i="12"/>
  <c r="G55" i="11"/>
  <c r="AT55" i="12"/>
  <c r="K55" i="11"/>
  <c r="AF43" i="12"/>
  <c r="G36" i="11"/>
  <c r="Z43" i="12"/>
  <c r="F36" i="11"/>
  <c r="AR43" i="12"/>
  <c r="I36" i="11"/>
  <c r="AL43" i="12"/>
  <c r="H36" i="11"/>
  <c r="T43" i="12"/>
  <c r="AT22"/>
  <c r="AR22"/>
  <c r="AL22"/>
  <c r="AF22"/>
  <c r="Z22"/>
  <c r="T22"/>
  <c r="C22" i="11"/>
  <c r="AR111" i="12"/>
  <c r="I84" i="11"/>
  <c r="AR110" i="12"/>
  <c r="I83" i="11"/>
  <c r="AR109" i="12"/>
  <c r="I85" i="11"/>
  <c r="AL111" i="12"/>
  <c r="H84" i="11"/>
  <c r="AL110" i="12"/>
  <c r="H83" i="11"/>
  <c r="AL109" i="12"/>
  <c r="H85" i="11"/>
  <c r="AF111" i="12"/>
  <c r="G84" i="11"/>
  <c r="AF110" i="12"/>
  <c r="G83" i="11"/>
  <c r="AF109" i="12"/>
  <c r="G85" i="11"/>
  <c r="Z111" i="12"/>
  <c r="F84" i="11"/>
  <c r="Z109" i="12"/>
  <c r="F85" i="11"/>
  <c r="T111" i="12"/>
  <c r="E84" i="11"/>
  <c r="N111" i="12"/>
  <c r="AR86"/>
  <c r="I74" i="11"/>
  <c r="AL86" i="12"/>
  <c r="H74" i="11"/>
  <c r="AF86" i="12"/>
  <c r="G74" i="11"/>
  <c r="Z86" i="12"/>
  <c r="F74" i="11"/>
  <c r="T86" i="12"/>
  <c r="E74" i="11"/>
  <c r="N86" i="12"/>
  <c r="D74" i="11"/>
  <c r="AT86" i="12"/>
  <c r="K74" i="11"/>
  <c r="AR42" i="12"/>
  <c r="I24" i="11"/>
  <c r="AL42" i="12"/>
  <c r="H24" i="11"/>
  <c r="AF42" i="12"/>
  <c r="G24" i="11"/>
  <c r="Z42" i="12"/>
  <c r="AR21"/>
  <c r="I22" i="11"/>
  <c r="AR20" i="12"/>
  <c r="I15" i="11"/>
  <c r="AL21" i="12"/>
  <c r="H22" i="11"/>
  <c r="AL20" i="12"/>
  <c r="H15" i="11"/>
  <c r="AF21" i="12"/>
  <c r="G22" i="11"/>
  <c r="AF20" i="12"/>
  <c r="G15" i="11"/>
  <c r="Z21" i="12"/>
  <c r="F22" i="11"/>
  <c r="Z20" i="12"/>
  <c r="F15" i="11"/>
  <c r="T21" i="12"/>
  <c r="E22" i="11"/>
  <c r="T20" i="12"/>
  <c r="E15" i="11"/>
  <c r="N21" i="12"/>
  <c r="D22" i="11"/>
  <c r="N20" i="12"/>
  <c r="D15" i="11"/>
  <c r="J15"/>
  <c r="AT21" i="12"/>
  <c r="AT20"/>
  <c r="K15" i="11"/>
  <c r="H99" i="12"/>
  <c r="AT6"/>
  <c r="AU6"/>
  <c r="AR108"/>
  <c r="I95" i="11"/>
  <c r="AR107" i="12"/>
  <c r="AR106"/>
  <c r="AR105"/>
  <c r="AR104"/>
  <c r="I93" i="11"/>
  <c r="AR103" i="12"/>
  <c r="I86" i="11"/>
  <c r="AR102" i="12"/>
  <c r="I98" i="11"/>
  <c r="AR101" i="12"/>
  <c r="AR100"/>
  <c r="I92" i="11"/>
  <c r="AR99" i="12"/>
  <c r="AL108"/>
  <c r="H95" i="11"/>
  <c r="AL107" i="12"/>
  <c r="H97" i="11"/>
  <c r="AL106" i="12"/>
  <c r="AL105"/>
  <c r="H90" i="11"/>
  <c r="AL104" i="12"/>
  <c r="H93" i="11"/>
  <c r="AL103" i="12"/>
  <c r="AL102"/>
  <c r="H98" i="11"/>
  <c r="AL101" i="12"/>
  <c r="AL100"/>
  <c r="AL99"/>
  <c r="AF107"/>
  <c r="G97" i="11"/>
  <c r="AF106" i="12"/>
  <c r="AF103"/>
  <c r="AF102"/>
  <c r="G98" i="11"/>
  <c r="AF101" i="12"/>
  <c r="G87" i="11"/>
  <c r="AF100" i="12"/>
  <c r="Z107"/>
  <c r="Z106"/>
  <c r="Z103"/>
  <c r="Z100"/>
  <c r="F92" i="11"/>
  <c r="H100" i="12"/>
  <c r="C92" i="11"/>
  <c r="N100" i="12"/>
  <c r="D92" i="11"/>
  <c r="T100" i="12"/>
  <c r="E92" i="11"/>
  <c r="G92"/>
  <c r="H92"/>
  <c r="J92"/>
  <c r="AT100" i="12"/>
  <c r="K92" i="11"/>
  <c r="L92"/>
  <c r="T108" i="12"/>
  <c r="E95" i="11"/>
  <c r="T107" i="12"/>
  <c r="E97" i="11"/>
  <c r="T106" i="12"/>
  <c r="T105"/>
  <c r="E90" i="11"/>
  <c r="T103" i="12"/>
  <c r="T101"/>
  <c r="E87" i="11"/>
  <c r="H101" i="12"/>
  <c r="C87" i="11"/>
  <c r="N101" i="12"/>
  <c r="D87" i="11"/>
  <c r="F87"/>
  <c r="H87"/>
  <c r="I87"/>
  <c r="J87"/>
  <c r="T99" i="12"/>
  <c r="N108"/>
  <c r="D95" i="11"/>
  <c r="N107" i="12"/>
  <c r="N106"/>
  <c r="N105"/>
  <c r="D90" i="11"/>
  <c r="H105" i="12"/>
  <c r="C90" i="11"/>
  <c r="F90"/>
  <c r="G90"/>
  <c r="I90"/>
  <c r="J90"/>
  <c r="AT105" i="12"/>
  <c r="K90" i="11"/>
  <c r="L90"/>
  <c r="N103" i="12"/>
  <c r="N102"/>
  <c r="N99"/>
  <c r="H108"/>
  <c r="C95" i="11"/>
  <c r="H107" i="12"/>
  <c r="H106"/>
  <c r="AS106"/>
  <c r="AS99"/>
  <c r="AS100"/>
  <c r="AS101"/>
  <c r="H102"/>
  <c r="AS102"/>
  <c r="H103"/>
  <c r="AS103"/>
  <c r="H104"/>
  <c r="AS104"/>
  <c r="AS105"/>
  <c r="AS107"/>
  <c r="AS108"/>
  <c r="AS109"/>
  <c r="AS110"/>
  <c r="AS111"/>
  <c r="AS112"/>
  <c r="AS113"/>
  <c r="AS114"/>
  <c r="AS115"/>
  <c r="AS116"/>
  <c r="AS117"/>
  <c r="AS118"/>
  <c r="AS119"/>
  <c r="AS121"/>
  <c r="C93" i="11"/>
  <c r="J93"/>
  <c r="C98"/>
  <c r="AR85" i="12"/>
  <c r="I70" i="11"/>
  <c r="AR84" i="12"/>
  <c r="AR83"/>
  <c r="AR82"/>
  <c r="I68" i="11"/>
  <c r="AR81" i="12"/>
  <c r="AR80"/>
  <c r="AR79"/>
  <c r="AR78"/>
  <c r="AR77"/>
  <c r="AR76"/>
  <c r="AL85"/>
  <c r="H70" i="11"/>
  <c r="AL84" i="12"/>
  <c r="AL83"/>
  <c r="AL82"/>
  <c r="H68" i="11"/>
  <c r="AL81" i="12"/>
  <c r="AL80"/>
  <c r="AL79"/>
  <c r="AL78"/>
  <c r="AL77"/>
  <c r="AL76"/>
  <c r="AF85"/>
  <c r="G70" i="11"/>
  <c r="AF84" i="12"/>
  <c r="AF83"/>
  <c r="AF82"/>
  <c r="G68" i="11"/>
  <c r="AF81" i="12"/>
  <c r="G67" i="11"/>
  <c r="AF80" i="12"/>
  <c r="AF79"/>
  <c r="G72" i="11"/>
  <c r="AF78" i="12"/>
  <c r="AF77"/>
  <c r="G61" i="11"/>
  <c r="AF76" i="12"/>
  <c r="Z85"/>
  <c r="F70" i="11"/>
  <c r="Z84" i="12"/>
  <c r="F65" i="11"/>
  <c r="Z83" i="12"/>
  <c r="Z82"/>
  <c r="F68" i="11"/>
  <c r="Z81" i="12"/>
  <c r="F67" i="11"/>
  <c r="Z80" i="12"/>
  <c r="Z79"/>
  <c r="F72" i="11"/>
  <c r="Z78" i="12"/>
  <c r="Z77"/>
  <c r="F61" i="11"/>
  <c r="Z76" i="12"/>
  <c r="T85"/>
  <c r="E70" i="11"/>
  <c r="T84" i="12"/>
  <c r="E65" i="11"/>
  <c r="T83" i="12"/>
  <c r="T82"/>
  <c r="E68" i="11"/>
  <c r="H82" i="12"/>
  <c r="C68" i="11"/>
  <c r="N82" i="12"/>
  <c r="D68" i="11"/>
  <c r="J68"/>
  <c r="L68"/>
  <c r="T81" i="12"/>
  <c r="E67" i="11"/>
  <c r="T80" i="12"/>
  <c r="T79"/>
  <c r="T78"/>
  <c r="T77"/>
  <c r="T76"/>
  <c r="N84"/>
  <c r="N83"/>
  <c r="N81"/>
  <c r="N80"/>
  <c r="N79"/>
  <c r="N78"/>
  <c r="N77"/>
  <c r="N76"/>
  <c r="H85"/>
  <c r="C70" i="11"/>
  <c r="D70"/>
  <c r="J70"/>
  <c r="H84" i="12"/>
  <c r="C65" i="11"/>
  <c r="D65"/>
  <c r="G65"/>
  <c r="H65"/>
  <c r="I65"/>
  <c r="J65"/>
  <c r="H83" i="12"/>
  <c r="H81"/>
  <c r="H80"/>
  <c r="C66" i="11"/>
  <c r="D66"/>
  <c r="E66"/>
  <c r="F66"/>
  <c r="G66"/>
  <c r="H66"/>
  <c r="I66"/>
  <c r="J66"/>
  <c r="H79" i="12"/>
  <c r="H78"/>
  <c r="C69" i="11"/>
  <c r="H77" i="12"/>
  <c r="H76"/>
  <c r="C62" i="11"/>
  <c r="D62"/>
  <c r="E62"/>
  <c r="F62"/>
  <c r="G62"/>
  <c r="H62"/>
  <c r="I62"/>
  <c r="J62"/>
  <c r="AR57" i="12"/>
  <c r="AR56"/>
  <c r="I39" i="11"/>
  <c r="AR55" i="12"/>
  <c r="I55" i="11"/>
  <c r="AR54" i="12"/>
  <c r="AR53"/>
  <c r="AR52"/>
  <c r="AR51"/>
  <c r="AR50"/>
  <c r="AL57"/>
  <c r="AL56"/>
  <c r="AL55"/>
  <c r="H55" i="11"/>
  <c r="AL54" i="12"/>
  <c r="AL53"/>
  <c r="H38" i="11"/>
  <c r="AL52" i="12"/>
  <c r="AL51"/>
  <c r="AL50"/>
  <c r="AF57"/>
  <c r="G40" i="11"/>
  <c r="AF56" i="12"/>
  <c r="G39" i="11"/>
  <c r="AF54" i="12"/>
  <c r="G45" i="11"/>
  <c r="AF53" i="12"/>
  <c r="AF52"/>
  <c r="G50" i="11"/>
  <c r="AF51" i="12"/>
  <c r="AF50"/>
  <c r="G42" i="11"/>
  <c r="Z56" i="12"/>
  <c r="F39" i="11"/>
  <c r="Z54" i="12"/>
  <c r="Z53"/>
  <c r="F38" i="11"/>
  <c r="Z52" i="12"/>
  <c r="F50" i="11"/>
  <c r="Z51" i="12"/>
  <c r="Z50"/>
  <c r="F42" i="11"/>
  <c r="H50" i="12"/>
  <c r="C42" i="11"/>
  <c r="N50" i="12"/>
  <c r="D42" i="11"/>
  <c r="T50" i="12"/>
  <c r="E42" i="11"/>
  <c r="H42"/>
  <c r="I42"/>
  <c r="J42"/>
  <c r="T57" i="12"/>
  <c r="E40" i="11"/>
  <c r="T56" i="12"/>
  <c r="T55"/>
  <c r="E55" i="11"/>
  <c r="T54" i="12"/>
  <c r="T53"/>
  <c r="E38" i="11"/>
  <c r="H53" i="12"/>
  <c r="C38" i="11"/>
  <c r="N53" i="12"/>
  <c r="D38" i="11"/>
  <c r="G38"/>
  <c r="I38"/>
  <c r="J38"/>
  <c r="AT53" i="12"/>
  <c r="K38" i="11"/>
  <c r="L38"/>
  <c r="T52" i="12"/>
  <c r="T51"/>
  <c r="E54" i="11"/>
  <c r="N57" i="12"/>
  <c r="N56"/>
  <c r="D39" i="11"/>
  <c r="N55" i="12"/>
  <c r="N54"/>
  <c r="N52"/>
  <c r="D50" i="11"/>
  <c r="H52" i="12"/>
  <c r="C50" i="11"/>
  <c r="E50"/>
  <c r="H50"/>
  <c r="I50"/>
  <c r="J50"/>
  <c r="AT52" i="12"/>
  <c r="K50" i="11"/>
  <c r="L50"/>
  <c r="N51" i="12"/>
  <c r="H57"/>
  <c r="C40" i="11"/>
  <c r="D40"/>
  <c r="F40"/>
  <c r="H40"/>
  <c r="I40"/>
  <c r="J40"/>
  <c r="H56" i="12"/>
  <c r="C39" i="11"/>
  <c r="H55" i="12"/>
  <c r="C55" i="11"/>
  <c r="D55"/>
  <c r="J55"/>
  <c r="L55"/>
  <c r="H54" i="12"/>
  <c r="C45" i="11"/>
  <c r="D45"/>
  <c r="E45"/>
  <c r="F45"/>
  <c r="H45"/>
  <c r="I45"/>
  <c r="J45"/>
  <c r="AT54" i="12"/>
  <c r="K45" i="11"/>
  <c r="L45"/>
  <c r="H51" i="12"/>
  <c r="AR40"/>
  <c r="AR39"/>
  <c r="I33" i="11"/>
  <c r="AR38" i="12"/>
  <c r="I31" i="11"/>
  <c r="AR37" i="12"/>
  <c r="I29" i="11"/>
  <c r="AR36" i="12"/>
  <c r="I26" i="11"/>
  <c r="AR35" i="12"/>
  <c r="AR34"/>
  <c r="I32" i="11"/>
  <c r="AR33" i="12"/>
  <c r="I27" i="11"/>
  <c r="AL40" i="12"/>
  <c r="H34" i="11"/>
  <c r="AL39" i="12"/>
  <c r="H33" i="11"/>
  <c r="AL38" i="12"/>
  <c r="AL37"/>
  <c r="H29" i="11"/>
  <c r="AL36" i="12"/>
  <c r="H26" i="11"/>
  <c r="AL35" i="12"/>
  <c r="H28" i="11"/>
  <c r="AL34" i="12"/>
  <c r="AL33"/>
  <c r="H27" i="11"/>
  <c r="AF40" i="12"/>
  <c r="G34" i="11"/>
  <c r="AF39" i="12"/>
  <c r="G33" i="11"/>
  <c r="AF38" i="12"/>
  <c r="G31" i="11"/>
  <c r="AF37" i="12"/>
  <c r="AF36"/>
  <c r="G26" i="11"/>
  <c r="AF35" i="12"/>
  <c r="G28" i="11"/>
  <c r="AF34" i="12"/>
  <c r="G32" i="11"/>
  <c r="AF33" i="12"/>
  <c r="G27" i="11"/>
  <c r="Z40" i="12"/>
  <c r="F34" i="11"/>
  <c r="C34"/>
  <c r="N40" i="12"/>
  <c r="D34" i="11"/>
  <c r="T40" i="12"/>
  <c r="E34" i="11"/>
  <c r="I34"/>
  <c r="J34"/>
  <c r="K34"/>
  <c r="L34"/>
  <c r="Z39" i="12"/>
  <c r="F33" i="11"/>
  <c r="Z38" i="12"/>
  <c r="Z37"/>
  <c r="F29" i="11"/>
  <c r="Z36" i="12"/>
  <c r="Z35"/>
  <c r="F28" i="11"/>
  <c r="Z34" i="12"/>
  <c r="T34"/>
  <c r="E32" i="11"/>
  <c r="N34" i="12"/>
  <c r="D32" i="11"/>
  <c r="Z33" i="12"/>
  <c r="T33"/>
  <c r="N33"/>
  <c r="T38"/>
  <c r="T37"/>
  <c r="E29" i="11"/>
  <c r="T36" i="12"/>
  <c r="T35"/>
  <c r="E28" i="11"/>
  <c r="N39" i="12"/>
  <c r="D33" i="11"/>
  <c r="N38" i="12"/>
  <c r="N37"/>
  <c r="D29" i="11"/>
  <c r="N36" i="12"/>
  <c r="N35"/>
  <c r="H39"/>
  <c r="C33" i="11"/>
  <c r="C26"/>
  <c r="AR19" i="12"/>
  <c r="I8" i="11"/>
  <c r="AR18" i="12"/>
  <c r="AR17"/>
  <c r="I17" i="11"/>
  <c r="AR16" i="12"/>
  <c r="I20" i="11"/>
  <c r="AR15" i="12"/>
  <c r="I13" i="11"/>
  <c r="H15" i="12"/>
  <c r="C13" i="11"/>
  <c r="N15" i="12"/>
  <c r="D13" i="11"/>
  <c r="T15" i="12"/>
  <c r="E13" i="11"/>
  <c r="Z15" i="12"/>
  <c r="F13" i="11"/>
  <c r="AF15" i="12"/>
  <c r="G13" i="11"/>
  <c r="AL15" i="12"/>
  <c r="H13" i="11"/>
  <c r="J13"/>
  <c r="AR14" i="12"/>
  <c r="I21" i="11"/>
  <c r="AR13" i="12"/>
  <c r="I12" i="11"/>
  <c r="AR12" i="12"/>
  <c r="I9" i="11"/>
  <c r="AR11" i="12"/>
  <c r="I23" i="11"/>
  <c r="AR10" i="12"/>
  <c r="I7" i="11"/>
  <c r="AL19" i="12"/>
  <c r="H8" i="11"/>
  <c r="AL18" i="12"/>
  <c r="AL17"/>
  <c r="H17" i="11"/>
  <c r="AL16" i="12"/>
  <c r="H20" i="11"/>
  <c r="AL14" i="12"/>
  <c r="H21" i="11"/>
  <c r="AL13" i="12"/>
  <c r="H12" i="11"/>
  <c r="AL12" i="12"/>
  <c r="H9" i="11"/>
  <c r="AL11" i="12"/>
  <c r="H23" i="11"/>
  <c r="AL10" i="12"/>
  <c r="AF19"/>
  <c r="G8" i="11"/>
  <c r="AF18" i="12"/>
  <c r="AF17"/>
  <c r="G17" i="11"/>
  <c r="AF16" i="12"/>
  <c r="G20" i="11"/>
  <c r="AF14" i="12"/>
  <c r="AF13"/>
  <c r="G12" i="11"/>
  <c r="AF12" i="12"/>
  <c r="AF11"/>
  <c r="G23" i="11"/>
  <c r="AF10" i="12"/>
  <c r="G7" i="11"/>
  <c r="Z19" i="12"/>
  <c r="F8" i="11"/>
  <c r="Z18" i="12"/>
  <c r="Z17"/>
  <c r="Z16"/>
  <c r="F20" i="11"/>
  <c r="Z14" i="12"/>
  <c r="F21" i="11"/>
  <c r="Z13" i="12"/>
  <c r="F12" i="11"/>
  <c r="Z12" i="12"/>
  <c r="F9" i="11"/>
  <c r="Z11" i="12"/>
  <c r="F23" i="11"/>
  <c r="Z10" i="12"/>
  <c r="F7" i="11"/>
  <c r="T19" i="12"/>
  <c r="E8" i="11"/>
  <c r="T18" i="12"/>
  <c r="T17"/>
  <c r="T14"/>
  <c r="T13"/>
  <c r="T12"/>
  <c r="T11"/>
  <c r="T10"/>
  <c r="N19"/>
  <c r="D8" i="11"/>
  <c r="N18" i="12"/>
  <c r="N17"/>
  <c r="D17" i="11"/>
  <c r="N16" i="12"/>
  <c r="D20" i="11"/>
  <c r="H16" i="12"/>
  <c r="C20" i="11"/>
  <c r="J20"/>
  <c r="L20"/>
  <c r="N14" i="12"/>
  <c r="D21" i="11"/>
  <c r="N13" i="12"/>
  <c r="N12"/>
  <c r="D9" i="11"/>
  <c r="H12" i="12"/>
  <c r="C9" i="11"/>
  <c r="E9"/>
  <c r="G9"/>
  <c r="J9"/>
  <c r="N11" i="12"/>
  <c r="N10"/>
  <c r="D7" i="11"/>
  <c r="H19" i="12"/>
  <c r="C8" i="11"/>
  <c r="H18" i="12"/>
  <c r="H17"/>
  <c r="H14"/>
  <c r="C21" i="11"/>
  <c r="H13" i="12"/>
  <c r="C12" i="11"/>
  <c r="H11" i="12"/>
  <c r="C23" i="11"/>
  <c r="H10" i="12"/>
  <c r="C7" i="11"/>
  <c r="AR2" i="12"/>
  <c r="AL2"/>
  <c r="H3" i="11"/>
  <c r="AF2" i="12"/>
  <c r="G3" i="11"/>
  <c r="Z2" i="12"/>
  <c r="F3" i="11"/>
  <c r="T2" i="12"/>
  <c r="N2"/>
  <c r="H6"/>
  <c r="C6" i="11"/>
  <c r="H5" i="12"/>
  <c r="H4"/>
  <c r="C4" i="11"/>
  <c r="H3" i="12"/>
  <c r="H2"/>
  <c r="C3" i="11"/>
  <c r="D3"/>
  <c r="E3"/>
  <c r="I3"/>
  <c r="J3"/>
  <c r="E39"/>
  <c r="AT57" i="12"/>
  <c r="K40" i="11"/>
  <c r="AT56" i="12"/>
  <c r="K39" i="11"/>
  <c r="H39"/>
  <c r="AT108" i="12"/>
  <c r="K95" i="11"/>
  <c r="AT5" i="12"/>
  <c r="K2" i="11"/>
  <c r="L2"/>
  <c r="AT4" i="12"/>
  <c r="K4" i="11"/>
  <c r="L4"/>
  <c r="AR6" i="12"/>
  <c r="I6" i="11"/>
  <c r="AR5" i="12"/>
  <c r="I2" i="11"/>
  <c r="AR4" i="12"/>
  <c r="I4" i="11"/>
  <c r="AL6" i="12"/>
  <c r="H6" i="11"/>
  <c r="AL5" i="12"/>
  <c r="H2" i="11"/>
  <c r="AL4" i="12"/>
  <c r="H4" i="11"/>
  <c r="AF6" i="12"/>
  <c r="G6" i="11"/>
  <c r="AF5" i="12"/>
  <c r="G2" i="11"/>
  <c r="AF4" i="12"/>
  <c r="G4" i="11"/>
  <c r="Z6" i="12"/>
  <c r="F6" i="11"/>
  <c r="Z5" i="12"/>
  <c r="F2" i="11"/>
  <c r="Z4" i="12"/>
  <c r="F4" i="11"/>
  <c r="T6" i="12"/>
  <c r="E6" i="11"/>
  <c r="T5" i="12"/>
  <c r="E2" i="11"/>
  <c r="T4" i="12"/>
  <c r="E4" i="11"/>
  <c r="N6" i="12"/>
  <c r="D6" i="11"/>
  <c r="N5" i="12"/>
  <c r="D2" i="11"/>
  <c r="N4" i="12"/>
  <c r="D4" i="11"/>
  <c r="J4"/>
  <c r="AT85" i="12"/>
  <c r="K70" i="11"/>
  <c r="L70"/>
  <c r="AT107" i="12"/>
  <c r="K97" i="11"/>
  <c r="AT106" i="12"/>
  <c r="I97" i="11"/>
  <c r="I100"/>
  <c r="H100"/>
  <c r="G100"/>
  <c r="F97"/>
  <c r="F100"/>
  <c r="E100"/>
  <c r="D100"/>
  <c r="C97"/>
  <c r="C100"/>
  <c r="AT19" i="12"/>
  <c r="K8" i="11"/>
  <c r="AT103" i="12"/>
  <c r="K86" i="11"/>
  <c r="AT101" i="12"/>
  <c r="K87" i="11"/>
  <c r="L87"/>
  <c r="AT99" i="12"/>
  <c r="K81" i="11"/>
  <c r="AT84" i="12"/>
  <c r="K65" i="11"/>
  <c r="AT83" i="12"/>
  <c r="K64" i="11"/>
  <c r="AT81" i="12"/>
  <c r="K67" i="11"/>
  <c r="AT80" i="12"/>
  <c r="K66" i="11"/>
  <c r="AT79" i="12"/>
  <c r="K72" i="11"/>
  <c r="AT78" i="12"/>
  <c r="K69" i="11"/>
  <c r="AT77" i="12"/>
  <c r="K61" i="11"/>
  <c r="AT76" i="12"/>
  <c r="K62" i="11"/>
  <c r="AS76" i="12"/>
  <c r="AT51"/>
  <c r="K54" i="11"/>
  <c r="AT50" i="12"/>
  <c r="K42" i="11"/>
  <c r="L42"/>
  <c r="K26"/>
  <c r="AT18" i="12"/>
  <c r="AU18"/>
  <c r="AT17"/>
  <c r="K17" i="11"/>
  <c r="AT15" i="12"/>
  <c r="K13" i="11"/>
  <c r="AT14" i="12"/>
  <c r="AT13"/>
  <c r="K12" i="11"/>
  <c r="AT12" i="12"/>
  <c r="K9" i="11"/>
  <c r="AT11" i="12"/>
  <c r="AT10"/>
  <c r="AT3"/>
  <c r="K5" i="11"/>
  <c r="L5"/>
  <c r="AT2" i="12"/>
  <c r="K3" i="11"/>
  <c r="L3"/>
  <c r="I81"/>
  <c r="H86"/>
  <c r="H81"/>
  <c r="I64"/>
  <c r="I67"/>
  <c r="I72"/>
  <c r="I69"/>
  <c r="I61"/>
  <c r="H64"/>
  <c r="H67"/>
  <c r="H72"/>
  <c r="H69"/>
  <c r="H61"/>
  <c r="I54"/>
  <c r="H54"/>
  <c r="I28"/>
  <c r="H31"/>
  <c r="H32"/>
  <c r="H7"/>
  <c r="AR3" i="12"/>
  <c r="I5" i="11"/>
  <c r="AL3" i="12"/>
  <c r="H5" i="11"/>
  <c r="AF3" i="12"/>
  <c r="G5" i="11"/>
  <c r="Z3" i="12"/>
  <c r="F5" i="11"/>
  <c r="T3" i="12"/>
  <c r="E5" i="11"/>
  <c r="G21"/>
  <c r="F17"/>
  <c r="E17"/>
  <c r="E21"/>
  <c r="E12"/>
  <c r="E23"/>
  <c r="E7"/>
  <c r="G29"/>
  <c r="F31"/>
  <c r="F26"/>
  <c r="F32"/>
  <c r="E31"/>
  <c r="E26"/>
  <c r="E27"/>
  <c r="G86"/>
  <c r="F86"/>
  <c r="F81"/>
  <c r="E86"/>
  <c r="E81"/>
  <c r="G64"/>
  <c r="G69"/>
  <c r="F64"/>
  <c r="F69"/>
  <c r="E64"/>
  <c r="E69"/>
  <c r="G54"/>
  <c r="F54"/>
  <c r="C86"/>
  <c r="D64"/>
  <c r="C64"/>
  <c r="D67"/>
  <c r="C67"/>
  <c r="D72"/>
  <c r="C72"/>
  <c r="D69"/>
  <c r="D61"/>
  <c r="C61"/>
  <c r="E61"/>
  <c r="J61"/>
  <c r="L61"/>
  <c r="D54"/>
  <c r="C54"/>
  <c r="J54"/>
  <c r="L54"/>
  <c r="D31"/>
  <c r="C31"/>
  <c r="C29"/>
  <c r="D26"/>
  <c r="J26"/>
  <c r="L26"/>
  <c r="D28"/>
  <c r="D27"/>
  <c r="C17"/>
  <c r="D12"/>
  <c r="D23"/>
  <c r="N3" i="12"/>
  <c r="AS3"/>
  <c r="C5" i="11"/>
  <c r="D86"/>
  <c r="AS11" i="12"/>
  <c r="AS81"/>
  <c r="AU81"/>
  <c r="D81" i="11"/>
  <c r="AS78" i="12"/>
  <c r="AS80"/>
  <c r="AU80"/>
  <c r="AS4"/>
  <c r="AU4"/>
  <c r="C2" i="11"/>
  <c r="J2"/>
  <c r="AU106" i="12"/>
  <c r="AU5"/>
  <c r="AS17"/>
  <c r="AS39"/>
  <c r="AU39"/>
  <c r="AS51"/>
  <c r="AU100"/>
  <c r="AS13"/>
  <c r="AS56"/>
  <c r="AS53"/>
  <c r="AU53"/>
  <c r="K28" i="11"/>
  <c r="K31"/>
  <c r="K6"/>
  <c r="L6"/>
  <c r="C81"/>
  <c r="D84"/>
  <c r="AS21" i="12"/>
  <c r="AU21"/>
  <c r="E36" i="11"/>
  <c r="AU114" i="12"/>
  <c r="G14" i="11"/>
  <c r="AU108" i="12"/>
  <c r="AS23"/>
  <c r="AU23"/>
  <c r="AS59"/>
  <c r="AU59"/>
  <c r="AS24"/>
  <c r="AU24"/>
  <c r="AU22"/>
  <c r="AS61"/>
  <c r="AU61"/>
  <c r="AS27"/>
  <c r="AU27"/>
  <c r="AS91"/>
  <c r="AU91"/>
  <c r="E41" i="11"/>
  <c r="F27"/>
  <c r="AS86" i="12"/>
  <c r="F24" i="11"/>
  <c r="D73"/>
  <c r="D25"/>
  <c r="D96"/>
  <c r="J96"/>
  <c r="L96"/>
  <c r="AU115" i="12"/>
  <c r="AU86"/>
  <c r="AS64"/>
  <c r="AU64"/>
  <c r="AS28"/>
  <c r="AU28"/>
  <c r="AU109"/>
  <c r="AS92"/>
  <c r="AU92"/>
  <c r="G56" i="11"/>
  <c r="AS93" i="12"/>
  <c r="AU93"/>
  <c r="AU117"/>
  <c r="AU99"/>
  <c r="AS68"/>
  <c r="AU118"/>
  <c r="AS70"/>
  <c r="AU70"/>
  <c r="AS26"/>
  <c r="AU26"/>
  <c r="AS37"/>
  <c r="AU37"/>
  <c r="AS40"/>
  <c r="AU40"/>
  <c r="AS66"/>
  <c r="AU66"/>
  <c r="AS5"/>
  <c r="AU113"/>
  <c r="AU119"/>
  <c r="AU101"/>
  <c r="AU95"/>
  <c r="H76" i="11"/>
  <c r="AU3" i="12"/>
  <c r="AS6"/>
  <c r="AU11"/>
  <c r="AS33"/>
  <c r="AU33"/>
  <c r="AU105"/>
  <c r="AS62"/>
  <c r="AU62"/>
  <c r="AU116"/>
  <c r="H82" i="11"/>
  <c r="J82"/>
  <c r="L82"/>
  <c r="AS94" i="12"/>
  <c r="AU94"/>
  <c r="AU111"/>
  <c r="AU68"/>
  <c r="AS69"/>
  <c r="AU69"/>
  <c r="AS20"/>
  <c r="AU20"/>
  <c r="K7" i="11"/>
  <c r="AS50" i="12"/>
  <c r="AU50"/>
  <c r="AS52"/>
  <c r="AS54"/>
  <c r="AU54"/>
  <c r="F16" i="11"/>
  <c r="AS25" i="12"/>
  <c r="AU25"/>
  <c r="K27" i="11"/>
  <c r="AT48" i="12"/>
  <c r="D75" i="11"/>
  <c r="AS87" i="12"/>
  <c r="AU87"/>
  <c r="D77" i="11"/>
  <c r="AS89" i="12"/>
  <c r="AU89"/>
  <c r="C43" i="11"/>
  <c r="AS60" i="12"/>
  <c r="AU60"/>
  <c r="C24" i="11"/>
  <c r="J24"/>
  <c r="AS42" i="12"/>
  <c r="AU42"/>
  <c r="D36" i="11"/>
  <c r="AS43" i="12"/>
  <c r="AU43"/>
  <c r="AS85"/>
  <c r="AU85"/>
  <c r="D57" i="11"/>
  <c r="J57"/>
  <c r="L57"/>
  <c r="AS65" i="12"/>
  <c r="AU65"/>
  <c r="AS2"/>
  <c r="AS8"/>
  <c r="AS12"/>
  <c r="AS15"/>
  <c r="AU15"/>
  <c r="AS55"/>
  <c r="AU55"/>
  <c r="AS82"/>
  <c r="AU82"/>
  <c r="AS77"/>
  <c r="E72" i="11"/>
  <c r="AS79" i="12"/>
  <c r="AU79"/>
  <c r="D98" i="11"/>
  <c r="AU102" i="12"/>
  <c r="D97" i="11"/>
  <c r="C99"/>
  <c r="AU112" i="12"/>
  <c r="AS63"/>
  <c r="AU63"/>
  <c r="AS38"/>
  <c r="AU38"/>
  <c r="AT8"/>
  <c r="AU8"/>
  <c r="AS34"/>
  <c r="AS36"/>
  <c r="AU36"/>
  <c r="AS44"/>
  <c r="AU44"/>
  <c r="AS90"/>
  <c r="AS58"/>
  <c r="AU58"/>
  <c r="AU104"/>
  <c r="AU51"/>
  <c r="AU17"/>
  <c r="AS14"/>
  <c r="AU14"/>
  <c r="AS19"/>
  <c r="AU19"/>
  <c r="AS18"/>
  <c r="AS84"/>
  <c r="AU103"/>
  <c r="AS22"/>
  <c r="AU110"/>
  <c r="AS10"/>
  <c r="AU10"/>
  <c r="AS16"/>
  <c r="AU16"/>
  <c r="GQ23" i="40"/>
  <c r="GR24"/>
  <c r="GR26"/>
  <c r="GQ60"/>
  <c r="GQ56"/>
  <c r="GQ52"/>
  <c r="GQ48"/>
  <c r="GR57"/>
  <c r="GQ53"/>
  <c r="GR49"/>
  <c r="GR45"/>
  <c r="GR43"/>
  <c r="GR39"/>
  <c r="GQ35"/>
  <c r="GQ46"/>
  <c r="GQ43"/>
  <c r="GR41"/>
  <c r="GQ39"/>
  <c r="GQ37"/>
  <c r="GR35"/>
  <c r="GQ33"/>
  <c r="GQ14"/>
  <c r="GQ15"/>
  <c r="GQ18"/>
  <c r="GQ19"/>
  <c r="GQ22"/>
  <c r="GR23"/>
  <c r="GQ26"/>
  <c r="GQ27"/>
  <c r="GQ30"/>
  <c r="GQ31"/>
  <c r="AU2" i="12"/>
  <c r="AU78"/>
  <c r="D5" i="11"/>
  <c r="J5"/>
  <c r="AS45" i="12"/>
  <c r="AU45"/>
  <c r="D48" i="11"/>
  <c r="J48"/>
  <c r="L48"/>
  <c r="AE53" i="1"/>
  <c r="AE82"/>
  <c r="AE74"/>
  <c r="GK53" i="40"/>
  <c r="GL65"/>
  <c r="GM54"/>
  <c r="GL59"/>
  <c r="GL53"/>
  <c r="GL47"/>
  <c r="GI36"/>
  <c r="FW36"/>
  <c r="GL41"/>
  <c r="GI24"/>
  <c r="FW24"/>
  <c r="GL29"/>
  <c r="DP29"/>
  <c r="BT23"/>
  <c r="GM36"/>
  <c r="GM42"/>
  <c r="GM48"/>
  <c r="GI54"/>
  <c r="FW54"/>
  <c r="GI60"/>
  <c r="FW60"/>
  <c r="GI42"/>
  <c r="FW42"/>
  <c r="GI48"/>
  <c r="FW48"/>
  <c r="GR10"/>
  <c r="GR9"/>
  <c r="GL35"/>
  <c r="GR11"/>
  <c r="GM24"/>
  <c r="BU59"/>
  <c r="AE7" i="1"/>
  <c r="AS57" i="12"/>
  <c r="AU57"/>
  <c r="AS41"/>
  <c r="AU41"/>
  <c r="AS35"/>
  <c r="AU13"/>
  <c r="AE14" i="1"/>
  <c r="AE24"/>
  <c r="AU76" i="12"/>
  <c r="BT41" i="40"/>
  <c r="GH42"/>
  <c r="BU53"/>
  <c r="CR59"/>
  <c r="BT65"/>
  <c r="CP19"/>
  <c r="BR21"/>
  <c r="AB23"/>
  <c r="EL44"/>
  <c r="CP48"/>
  <c r="Z50"/>
  <c r="EN11"/>
  <c r="DN19"/>
  <c r="EL21"/>
  <c r="CP24"/>
  <c r="BR44"/>
  <c r="AV46"/>
  <c r="AX53"/>
  <c r="GH7"/>
  <c r="AV9"/>
  <c r="Z10"/>
  <c r="CP10"/>
  <c r="BU11"/>
  <c r="GG11"/>
  <c r="BT17"/>
  <c r="EN17"/>
  <c r="AV18"/>
  <c r="GH18"/>
  <c r="BR19"/>
  <c r="AV20"/>
  <c r="Z21"/>
  <c r="DN21"/>
  <c r="EL22"/>
  <c r="CR23"/>
  <c r="CT23"/>
  <c r="AV24"/>
  <c r="GH24"/>
  <c r="GH26"/>
  <c r="CR29"/>
  <c r="CP30"/>
  <c r="GH30"/>
  <c r="BR32"/>
  <c r="CP33"/>
  <c r="BR34"/>
  <c r="AB35"/>
  <c r="GJ35"/>
  <c r="BR36"/>
  <c r="EL36"/>
  <c r="EL37"/>
  <c r="GH38"/>
  <c r="GH40"/>
  <c r="EL42"/>
  <c r="BR43"/>
  <c r="AV44"/>
  <c r="Z45"/>
  <c r="EL45"/>
  <c r="EL46"/>
  <c r="AX47"/>
  <c r="GJ47"/>
  <c r="AV48"/>
  <c r="Z49"/>
  <c r="EL49"/>
  <c r="GH50"/>
  <c r="BR52"/>
  <c r="GH52"/>
  <c r="GH55"/>
  <c r="GH60"/>
  <c r="BR62"/>
  <c r="CP63"/>
  <c r="BR64"/>
  <c r="AB65"/>
  <c r="GH67"/>
  <c r="GH70"/>
  <c r="GK11"/>
  <c r="GQ9"/>
  <c r="GQ10"/>
  <c r="GQ11"/>
  <c r="GK47"/>
  <c r="GR33"/>
  <c r="GR29"/>
  <c r="GQ28"/>
  <c r="GQ25"/>
  <c r="GQ24"/>
  <c r="GQ21"/>
  <c r="GQ20"/>
  <c r="GR17"/>
  <c r="GQ16"/>
  <c r="GQ13"/>
  <c r="GQ12"/>
  <c r="GQ32"/>
  <c r="GQ34"/>
  <c r="GQ36"/>
  <c r="GQ38"/>
  <c r="GQ40"/>
  <c r="GQ42"/>
  <c r="GQ44"/>
  <c r="GR34"/>
  <c r="GR37"/>
  <c r="GQ41"/>
  <c r="GQ45"/>
  <c r="GQ47"/>
  <c r="GR51"/>
  <c r="GR55"/>
  <c r="GQ59"/>
  <c r="GQ50"/>
  <c r="GQ54"/>
  <c r="GQ58"/>
  <c r="GR31"/>
  <c r="GR18"/>
  <c r="GR16"/>
  <c r="GR15"/>
  <c r="AV6"/>
  <c r="EL12"/>
  <c r="BR15"/>
  <c r="CP28"/>
  <c r="EL30"/>
  <c r="Z56"/>
  <c r="BR58"/>
  <c r="Z6"/>
  <c r="DN6"/>
  <c r="CP7"/>
  <c r="EL8"/>
  <c r="GH10"/>
  <c r="BR12"/>
  <c r="EL13"/>
  <c r="DN14"/>
  <c r="EL15"/>
  <c r="CS17"/>
  <c r="CT17"/>
  <c r="Z18"/>
  <c r="AV26"/>
  <c r="Z27"/>
  <c r="CP27"/>
  <c r="BR28"/>
  <c r="CS29"/>
  <c r="CT29"/>
  <c r="AV30"/>
  <c r="DN31"/>
  <c r="EL32"/>
  <c r="CS35"/>
  <c r="CP38"/>
  <c r="AV40"/>
  <c r="AB41"/>
  <c r="GJ41"/>
  <c r="CP52"/>
  <c r="BR54"/>
  <c r="GH54"/>
  <c r="DN55"/>
  <c r="EL56"/>
  <c r="DN57"/>
  <c r="EL58"/>
  <c r="EO59"/>
  <c r="AV60"/>
  <c r="DN61"/>
  <c r="EL62"/>
  <c r="GH66"/>
  <c r="Z7"/>
  <c r="EL7"/>
  <c r="AV8"/>
  <c r="DN9"/>
  <c r="DN10"/>
  <c r="AB11"/>
  <c r="AV13"/>
  <c r="AV14"/>
  <c r="Z15"/>
  <c r="Z16"/>
  <c r="BU17"/>
  <c r="GH19"/>
  <c r="CP22"/>
  <c r="GJ23"/>
  <c r="GL23"/>
  <c r="AV25"/>
  <c r="Z26"/>
  <c r="EL26"/>
  <c r="GH27"/>
  <c r="GJ29"/>
  <c r="BR31"/>
  <c r="AV32"/>
  <c r="DN33"/>
  <c r="EL34"/>
  <c r="BT35"/>
  <c r="BU35"/>
  <c r="BV35"/>
  <c r="CP37"/>
  <c r="BR38"/>
  <c r="AV39"/>
  <c r="DN40"/>
  <c r="AX41"/>
  <c r="EN41"/>
  <c r="BR42"/>
  <c r="CP45"/>
  <c r="DQ47"/>
  <c r="BR50"/>
  <c r="AV51"/>
  <c r="Z52"/>
  <c r="EN53"/>
  <c r="CP55"/>
  <c r="CP56"/>
  <c r="BR57"/>
  <c r="AV58"/>
  <c r="BT59"/>
  <c r="BV59"/>
  <c r="BR61"/>
  <c r="AV62"/>
  <c r="Z63"/>
  <c r="EL63"/>
  <c r="GH64"/>
  <c r="DQ65"/>
  <c r="GR30"/>
  <c r="GR28"/>
  <c r="GR27"/>
  <c r="GR22"/>
  <c r="GR20"/>
  <c r="GR19"/>
  <c r="GR14"/>
  <c r="GR32"/>
  <c r="GR13"/>
  <c r="GQ17"/>
  <c r="GR21"/>
  <c r="GR25"/>
  <c r="GQ29"/>
  <c r="GR59"/>
  <c r="GQ57"/>
  <c r="GQ55"/>
  <c r="GR53"/>
  <c r="GQ51"/>
  <c r="GQ49"/>
  <c r="GR60"/>
  <c r="GR58"/>
  <c r="GR56"/>
  <c r="GR54"/>
  <c r="GR52"/>
  <c r="GR50"/>
  <c r="GR48"/>
  <c r="GR46"/>
  <c r="GR47"/>
  <c r="GR44"/>
  <c r="GR42"/>
  <c r="GR40"/>
  <c r="GR38"/>
  <c r="GR36"/>
  <c r="CP8"/>
  <c r="BR9"/>
  <c r="AV12"/>
  <c r="DN13"/>
  <c r="EL14"/>
  <c r="GH15"/>
  <c r="GH16"/>
  <c r="GJ17"/>
  <c r="Z19"/>
  <c r="EL20"/>
  <c r="GH21"/>
  <c r="EO23"/>
  <c r="EL24"/>
  <c r="GH25"/>
  <c r="AV27"/>
  <c r="Z28"/>
  <c r="AX29"/>
  <c r="Z31"/>
  <c r="CP32"/>
  <c r="BR33"/>
  <c r="DN34"/>
  <c r="CR35"/>
  <c r="EO35"/>
  <c r="DN36"/>
  <c r="DN37"/>
  <c r="EL38"/>
  <c r="GH39"/>
  <c r="CS41"/>
  <c r="CT41"/>
  <c r="Z42"/>
  <c r="EL43"/>
  <c r="GH44"/>
  <c r="CP46"/>
  <c r="CS47"/>
  <c r="EL48"/>
  <c r="AV50"/>
  <c r="Z51"/>
  <c r="EL52"/>
  <c r="CS53"/>
  <c r="DN54"/>
  <c r="AV56"/>
  <c r="EL57"/>
  <c r="GH58"/>
  <c r="EN59"/>
  <c r="EP59"/>
  <c r="Z61"/>
  <c r="CP62"/>
  <c r="BR63"/>
  <c r="DN64"/>
  <c r="CR65"/>
  <c r="CS65"/>
  <c r="CT65"/>
  <c r="GJ71"/>
  <c r="AX11"/>
  <c r="CR11"/>
  <c r="CR47"/>
  <c r="EO65"/>
  <c r="AB64" i="1"/>
  <c r="AE16"/>
  <c r="AE11"/>
  <c r="AE19"/>
  <c r="AE78"/>
  <c r="AB84"/>
  <c r="AU35" i="12"/>
  <c r="AS71"/>
  <c r="AU71"/>
  <c r="AS72"/>
  <c r="AU72"/>
  <c r="AE66" i="1"/>
  <c r="AE36"/>
  <c r="DN24" i="40"/>
  <c r="DQ53"/>
  <c r="DQ35"/>
  <c r="DQ29"/>
  <c r="DN16"/>
  <c r="DN15"/>
  <c r="DQ17"/>
  <c r="DR17"/>
  <c r="DN51"/>
  <c r="DN48"/>
  <c r="DN22"/>
  <c r="DP23"/>
  <c r="DQ23"/>
  <c r="DR23"/>
  <c r="DN8"/>
  <c r="DM11"/>
  <c r="DP53"/>
  <c r="DR53"/>
  <c r="DP11"/>
  <c r="DR11"/>
  <c r="DR29"/>
  <c r="DP35"/>
  <c r="DR35"/>
  <c r="DP41"/>
  <c r="DQ41"/>
  <c r="DR41"/>
  <c r="DP47"/>
  <c r="DR47"/>
  <c r="DP59"/>
  <c r="DQ59"/>
  <c r="DR59"/>
  <c r="DP65"/>
  <c r="DR65"/>
  <c r="DS48"/>
  <c r="J71" i="11"/>
  <c r="L71"/>
  <c r="J75"/>
  <c r="L75"/>
  <c r="AE70" i="1"/>
  <c r="AT97" i="12"/>
  <c r="AU77"/>
  <c r="AS83"/>
  <c r="AS67"/>
  <c r="AS74"/>
  <c r="AU52"/>
  <c r="AT74"/>
  <c r="AT31"/>
  <c r="AU67"/>
  <c r="AU83"/>
  <c r="AE69" i="1"/>
  <c r="AE15"/>
  <c r="J44" i="11"/>
  <c r="L44"/>
  <c r="J52"/>
  <c r="L52"/>
  <c r="J59"/>
  <c r="L59"/>
  <c r="J72"/>
  <c r="L72"/>
  <c r="J64"/>
  <c r="J69"/>
  <c r="J56"/>
  <c r="L56"/>
  <c r="J94"/>
  <c r="J35"/>
  <c r="L35"/>
  <c r="J81"/>
  <c r="J47"/>
  <c r="L47"/>
  <c r="J88"/>
  <c r="L88"/>
  <c r="AS88" i="12"/>
  <c r="AU88"/>
  <c r="AU84"/>
  <c r="AB57" i="1"/>
  <c r="FM23" i="40"/>
  <c r="FN23"/>
  <c r="FM35"/>
  <c r="FN35"/>
  <c r="FM47"/>
  <c r="FN47"/>
  <c r="FM59"/>
  <c r="FN59"/>
  <c r="GK59"/>
  <c r="GJ59"/>
  <c r="GJ65"/>
  <c r="GK65"/>
  <c r="CT47"/>
  <c r="CT35"/>
  <c r="CT59"/>
  <c r="BV65"/>
  <c r="CO11"/>
  <c r="CS11"/>
  <c r="CT11"/>
  <c r="EK11"/>
  <c r="EO11"/>
  <c r="EP11"/>
  <c r="BT29"/>
  <c r="BU29"/>
  <c r="BV29"/>
  <c r="EN29"/>
  <c r="EO29"/>
  <c r="EP29"/>
  <c r="BT47"/>
  <c r="BU47"/>
  <c r="EO47"/>
  <c r="EN47"/>
  <c r="EP47"/>
  <c r="GL11"/>
  <c r="BV41"/>
  <c r="CP16"/>
  <c r="GK29"/>
  <c r="DN46"/>
  <c r="EP53"/>
  <c r="EP41"/>
  <c r="BQ11"/>
  <c r="DN28"/>
  <c r="DN42"/>
  <c r="DN43"/>
  <c r="DN58"/>
  <c r="FM11"/>
  <c r="FL11"/>
  <c r="FN11"/>
  <c r="FI11"/>
  <c r="BV47"/>
  <c r="GL17"/>
  <c r="BV17"/>
  <c r="CP6"/>
  <c r="Z8"/>
  <c r="GH8"/>
  <c r="CP9"/>
  <c r="GH9"/>
  <c r="BR10"/>
  <c r="BT11"/>
  <c r="BV11"/>
  <c r="GH12"/>
  <c r="BR16"/>
  <c r="EO17"/>
  <c r="EP17"/>
  <c r="DN18"/>
  <c r="Z20"/>
  <c r="AV22"/>
  <c r="AV31"/>
  <c r="AV33"/>
  <c r="AV34"/>
  <c r="AV42"/>
  <c r="AV54"/>
  <c r="AV55"/>
  <c r="AV57"/>
  <c r="AW25"/>
  <c r="AK25"/>
  <c r="GH22"/>
  <c r="BU23"/>
  <c r="BV23"/>
  <c r="EN23"/>
  <c r="EP23"/>
  <c r="Z25"/>
  <c r="EL25"/>
  <c r="BR27"/>
  <c r="EL28"/>
  <c r="Z32"/>
  <c r="GH32"/>
  <c r="GH33"/>
  <c r="GH34"/>
  <c r="GH36"/>
  <c r="DN39"/>
  <c r="CP40"/>
  <c r="CP43"/>
  <c r="DN44"/>
  <c r="AB47"/>
  <c r="BR48"/>
  <c r="CP49"/>
  <c r="GH49"/>
  <c r="DN50"/>
  <c r="EL51"/>
  <c r="AB53"/>
  <c r="CR53"/>
  <c r="CT53"/>
  <c r="GJ53"/>
  <c r="GH56"/>
  <c r="GH57"/>
  <c r="CP58"/>
  <c r="AX59"/>
  <c r="AY54"/>
  <c r="CP60"/>
  <c r="CP61"/>
  <c r="GH61"/>
  <c r="DN62"/>
  <c r="EL64"/>
  <c r="GH68"/>
  <c r="GK71"/>
  <c r="FJ15"/>
  <c r="FL17"/>
  <c r="FN17"/>
  <c r="FJ20"/>
  <c r="FJ25"/>
  <c r="FM29"/>
  <c r="FJ32"/>
  <c r="FJ37"/>
  <c r="FM41"/>
  <c r="FJ44"/>
  <c r="FJ49"/>
  <c r="FM53"/>
  <c r="FJ56"/>
  <c r="FJ61"/>
  <c r="FM65"/>
  <c r="AW60"/>
  <c r="AK60"/>
  <c r="AW61"/>
  <c r="AK61"/>
  <c r="AW48"/>
  <c r="AK48"/>
  <c r="AW12"/>
  <c r="AK12"/>
  <c r="AW6"/>
  <c r="AK6"/>
  <c r="AW10"/>
  <c r="AK10"/>
  <c r="AW44"/>
  <c r="AK44"/>
  <c r="AW24"/>
  <c r="AK24"/>
  <c r="AW18"/>
  <c r="AK18"/>
  <c r="AW22"/>
  <c r="AK22"/>
  <c r="AW16"/>
  <c r="AK16"/>
  <c r="AW9"/>
  <c r="AK9"/>
  <c r="AW54"/>
  <c r="AK54"/>
  <c r="AW37"/>
  <c r="AK37"/>
  <c r="AW36"/>
  <c r="AK36"/>
  <c r="AW34"/>
  <c r="AK34"/>
  <c r="AW27"/>
  <c r="AK27"/>
  <c r="DN7"/>
  <c r="DO42"/>
  <c r="DC42"/>
  <c r="CP12"/>
  <c r="BR13"/>
  <c r="BR14"/>
  <c r="BS14"/>
  <c r="BG14"/>
  <c r="CP15"/>
  <c r="AB17"/>
  <c r="GH20"/>
  <c r="Z24"/>
  <c r="CP25"/>
  <c r="CP26"/>
  <c r="CQ26"/>
  <c r="CE26"/>
  <c r="EL27"/>
  <c r="AB29"/>
  <c r="AC24"/>
  <c r="FL29"/>
  <c r="FN29"/>
  <c r="FL41"/>
  <c r="FN41"/>
  <c r="FL53"/>
  <c r="FN53"/>
  <c r="FL65"/>
  <c r="FN65"/>
  <c r="BS49"/>
  <c r="BG49"/>
  <c r="AW57"/>
  <c r="AK57"/>
  <c r="AW55"/>
  <c r="AK55"/>
  <c r="AW31"/>
  <c r="AK31"/>
  <c r="AW32"/>
  <c r="AK32"/>
  <c r="AW56"/>
  <c r="AK56"/>
  <c r="AW30"/>
  <c r="AK30"/>
  <c r="AW7"/>
  <c r="AK7"/>
  <c r="AW62"/>
  <c r="AK62"/>
  <c r="AW40"/>
  <c r="AK40"/>
  <c r="AW39"/>
  <c r="AK39"/>
  <c r="AW58"/>
  <c r="AK58"/>
  <c r="AW21"/>
  <c r="AK21"/>
  <c r="AW26"/>
  <c r="AK26"/>
  <c r="AW45"/>
  <c r="AK45"/>
  <c r="AY60"/>
  <c r="AY6"/>
  <c r="AY12"/>
  <c r="AW51"/>
  <c r="AK51"/>
  <c r="AW13"/>
  <c r="AK13"/>
  <c r="AW19"/>
  <c r="AK19"/>
  <c r="AW46"/>
  <c r="AK46"/>
  <c r="AW63"/>
  <c r="AK63"/>
  <c r="AW49"/>
  <c r="AK49"/>
  <c r="GM12"/>
  <c r="GM6"/>
  <c r="AW42"/>
  <c r="AK42"/>
  <c r="AW33"/>
  <c r="AK33"/>
  <c r="AW50"/>
  <c r="AK50"/>
  <c r="AW14"/>
  <c r="AK14"/>
  <c r="AW15"/>
  <c r="AK15"/>
  <c r="AY48"/>
  <c r="AW43"/>
  <c r="AK43"/>
  <c r="AW28"/>
  <c r="AK28"/>
  <c r="AY36"/>
  <c r="AY18"/>
  <c r="GM18"/>
  <c r="CU6"/>
  <c r="AY24"/>
  <c r="AY30"/>
  <c r="AY42"/>
  <c r="AW64"/>
  <c r="AK64"/>
  <c r="AW8"/>
  <c r="AK8"/>
  <c r="AW20"/>
  <c r="AK20"/>
  <c r="AW38"/>
  <c r="AK38"/>
  <c r="AW52"/>
  <c r="AK52"/>
  <c r="AA55"/>
  <c r="O55"/>
  <c r="AA40"/>
  <c r="O40"/>
  <c r="AA44"/>
  <c r="O44"/>
  <c r="AA25"/>
  <c r="O25"/>
  <c r="AA12"/>
  <c r="O12"/>
  <c r="AA32"/>
  <c r="O32"/>
  <c r="AA22"/>
  <c r="O22"/>
  <c r="AA16"/>
  <c r="O16"/>
  <c r="AA51"/>
  <c r="O51"/>
  <c r="AA26"/>
  <c r="O26"/>
  <c r="AA50"/>
  <c r="O50"/>
  <c r="AA48"/>
  <c r="O48"/>
  <c r="AA36"/>
  <c r="O36"/>
  <c r="AA27"/>
  <c r="O27"/>
  <c r="AA15"/>
  <c r="O15"/>
  <c r="AA6"/>
  <c r="O6"/>
  <c r="AA10"/>
  <c r="O10"/>
  <c r="AA7"/>
  <c r="O7"/>
  <c r="AA19"/>
  <c r="O19"/>
  <c r="AA18"/>
  <c r="O18"/>
  <c r="AA49"/>
  <c r="O49"/>
  <c r="AA20"/>
  <c r="O20"/>
  <c r="AA34"/>
  <c r="O34"/>
  <c r="AA31"/>
  <c r="O31"/>
  <c r="AA54"/>
  <c r="O54"/>
  <c r="AA63"/>
  <c r="O63"/>
  <c r="AA13"/>
  <c r="O13"/>
  <c r="AA21"/>
  <c r="O21"/>
  <c r="AA14"/>
  <c r="O14"/>
  <c r="AA28"/>
  <c r="O28"/>
  <c r="AA45"/>
  <c r="O45"/>
  <c r="AA39"/>
  <c r="O39"/>
  <c r="AA64"/>
  <c r="O64"/>
  <c r="AA60"/>
  <c r="O60"/>
  <c r="AA52"/>
  <c r="O52"/>
  <c r="AA33"/>
  <c r="O33"/>
  <c r="AA58"/>
  <c r="O58"/>
  <c r="AA24"/>
  <c r="O24"/>
  <c r="AA9"/>
  <c r="O9"/>
  <c r="AA37"/>
  <c r="O37"/>
  <c r="AA61"/>
  <c r="O61"/>
  <c r="AA8"/>
  <c r="O8"/>
  <c r="AA56"/>
  <c r="O56"/>
  <c r="AC12"/>
  <c r="AC54"/>
  <c r="AC18"/>
  <c r="AC48"/>
  <c r="AC6"/>
  <c r="AC36"/>
  <c r="CQ21"/>
  <c r="CE21"/>
  <c r="CQ30"/>
  <c r="CE30"/>
  <c r="CQ48"/>
  <c r="CE48"/>
  <c r="CQ46"/>
  <c r="CE46"/>
  <c r="CQ27"/>
  <c r="CE27"/>
  <c r="CQ19"/>
  <c r="CE19"/>
  <c r="CQ13"/>
  <c r="CE13"/>
  <c r="CQ12"/>
  <c r="CE12"/>
  <c r="CQ56"/>
  <c r="CE56"/>
  <c r="CQ64"/>
  <c r="CE64"/>
  <c r="CQ49"/>
  <c r="CE49"/>
  <c r="CQ38"/>
  <c r="CE38"/>
  <c r="CQ57"/>
  <c r="CE57"/>
  <c r="CQ31"/>
  <c r="CE31"/>
  <c r="CQ58"/>
  <c r="CE58"/>
  <c r="CQ50"/>
  <c r="CE50"/>
  <c r="CQ9"/>
  <c r="CE9"/>
  <c r="CQ24"/>
  <c r="CE24"/>
  <c r="CQ52"/>
  <c r="CE52"/>
  <c r="CQ28"/>
  <c r="CE28"/>
  <c r="CQ44"/>
  <c r="CE44"/>
  <c r="CQ42"/>
  <c r="CE42"/>
  <c r="CQ33"/>
  <c r="CE33"/>
  <c r="CQ16"/>
  <c r="CE16"/>
  <c r="CQ8"/>
  <c r="CE8"/>
  <c r="CQ7"/>
  <c r="CE7"/>
  <c r="CQ40"/>
  <c r="CE40"/>
  <c r="CQ54"/>
  <c r="CE54"/>
  <c r="CQ43"/>
  <c r="CE43"/>
  <c r="CQ55"/>
  <c r="CE55"/>
  <c r="CQ36"/>
  <c r="CE36"/>
  <c r="CQ62"/>
  <c r="CE62"/>
  <c r="CQ39"/>
  <c r="CE39"/>
  <c r="CQ18"/>
  <c r="CE18"/>
  <c r="CQ60"/>
  <c r="CE60"/>
  <c r="CQ45"/>
  <c r="CE45"/>
  <c r="CQ61"/>
  <c r="CE61"/>
  <c r="CQ63"/>
  <c r="CE63"/>
  <c r="CQ37"/>
  <c r="CE37"/>
  <c r="CQ10"/>
  <c r="CE10"/>
  <c r="CQ32"/>
  <c r="CE32"/>
  <c r="CQ6"/>
  <c r="CE6"/>
  <c r="CQ20"/>
  <c r="CE20"/>
  <c r="CQ34"/>
  <c r="CE34"/>
  <c r="CQ51"/>
  <c r="CE51"/>
  <c r="CQ14"/>
  <c r="CE14"/>
  <c r="CQ22"/>
  <c r="CE22"/>
  <c r="BD43"/>
  <c r="BC43"/>
  <c r="BC14"/>
  <c r="BC49"/>
  <c r="BC34"/>
  <c r="BD17"/>
  <c r="BC25"/>
  <c r="BD41"/>
  <c r="BC47"/>
  <c r="BD45"/>
  <c r="BD50"/>
  <c r="BD39"/>
  <c r="BC46"/>
  <c r="BC53"/>
  <c r="BD35"/>
  <c r="BC13"/>
  <c r="BD10"/>
  <c r="BD23"/>
  <c r="BC28"/>
  <c r="BC9"/>
  <c r="BD27"/>
  <c r="BD8"/>
  <c r="BD42"/>
  <c r="BD32"/>
  <c r="BC18"/>
  <c r="BD53"/>
  <c r="BC8"/>
  <c r="BC33"/>
  <c r="BD30"/>
  <c r="BC37"/>
  <c r="BD21"/>
  <c r="BD52"/>
  <c r="BC21"/>
  <c r="BC31"/>
  <c r="BC15"/>
  <c r="BD51"/>
  <c r="BC44"/>
  <c r="BC24"/>
  <c r="BC12"/>
  <c r="BC50"/>
  <c r="BC10"/>
  <c r="BC38"/>
  <c r="BC6"/>
  <c r="BD31"/>
  <c r="BC55"/>
  <c r="BD34"/>
  <c r="BD22"/>
  <c r="BD49"/>
  <c r="BD48"/>
  <c r="BC48"/>
  <c r="BD36"/>
  <c r="BD14"/>
  <c r="BD47"/>
  <c r="BC54"/>
  <c r="BD6"/>
  <c r="BD28"/>
  <c r="BD16"/>
  <c r="BD15"/>
  <c r="BD7"/>
  <c r="BC35"/>
  <c r="BC11"/>
  <c r="BC7"/>
  <c r="BD18"/>
  <c r="BC39"/>
  <c r="BD37"/>
  <c r="BC51"/>
  <c r="BC45"/>
  <c r="BC20"/>
  <c r="BD19"/>
  <c r="BD20"/>
  <c r="BC52"/>
  <c r="BD38"/>
  <c r="BD12"/>
  <c r="BC32"/>
  <c r="BD46"/>
  <c r="BC42"/>
  <c r="BD54"/>
  <c r="BC22"/>
  <c r="BD24"/>
  <c r="BD40"/>
  <c r="BD55"/>
  <c r="BC29"/>
  <c r="BC41"/>
  <c r="BD11"/>
  <c r="BC16"/>
  <c r="BD13"/>
  <c r="BD29"/>
  <c r="BC40"/>
  <c r="BD44"/>
  <c r="BC23"/>
  <c r="BC17"/>
  <c r="BD9"/>
  <c r="BD25"/>
  <c r="BC27"/>
  <c r="BC19"/>
  <c r="BC30"/>
  <c r="BD33"/>
  <c r="BC26"/>
  <c r="BC36"/>
  <c r="BD26"/>
  <c r="BS22"/>
  <c r="BG22"/>
  <c r="BS57"/>
  <c r="BG57"/>
  <c r="AC60"/>
  <c r="AA57"/>
  <c r="O57"/>
  <c r="EM56"/>
  <c r="EA56"/>
  <c r="EM54"/>
  <c r="EA54"/>
  <c r="EM49"/>
  <c r="EA49"/>
  <c r="EM48"/>
  <c r="EA48"/>
  <c r="EM44"/>
  <c r="EA44"/>
  <c r="EM46"/>
  <c r="EA46"/>
  <c r="EM42"/>
  <c r="EA42"/>
  <c r="EM40"/>
  <c r="EA40"/>
  <c r="EM37"/>
  <c r="EA37"/>
  <c r="EM24"/>
  <c r="EA24"/>
  <c r="EM32"/>
  <c r="EA32"/>
  <c r="EM31"/>
  <c r="EA31"/>
  <c r="EM27"/>
  <c r="EA27"/>
  <c r="EM28"/>
  <c r="EA28"/>
  <c r="EM10"/>
  <c r="EA10"/>
  <c r="EM9"/>
  <c r="EA9"/>
  <c r="EM61"/>
  <c r="EA61"/>
  <c r="EM63"/>
  <c r="EA63"/>
  <c r="EM62"/>
  <c r="EA62"/>
  <c r="EM60"/>
  <c r="EA60"/>
  <c r="EM58"/>
  <c r="EA58"/>
  <c r="EM57"/>
  <c r="EA57"/>
  <c r="EM55"/>
  <c r="EA55"/>
  <c r="EM52"/>
  <c r="EA52"/>
  <c r="EM50"/>
  <c r="EA50"/>
  <c r="EM43"/>
  <c r="EA43"/>
  <c r="EM45"/>
  <c r="EA45"/>
  <c r="EM38"/>
  <c r="EA38"/>
  <c r="EM39"/>
  <c r="EA39"/>
  <c r="EM36"/>
  <c r="EA36"/>
  <c r="EM34"/>
  <c r="EA34"/>
  <c r="EM30"/>
  <c r="EA30"/>
  <c r="EM33"/>
  <c r="EA33"/>
  <c r="EM25"/>
  <c r="EA25"/>
  <c r="EM26"/>
  <c r="EA26"/>
  <c r="EM20"/>
  <c r="EA20"/>
  <c r="EM19"/>
  <c r="EA19"/>
  <c r="EM22"/>
  <c r="EA22"/>
  <c r="EM21"/>
  <c r="EA21"/>
  <c r="EM16"/>
  <c r="EA16"/>
  <c r="EM14"/>
  <c r="EA14"/>
  <c r="EM15"/>
  <c r="EA15"/>
  <c r="EM13"/>
  <c r="EA13"/>
  <c r="EM7"/>
  <c r="EA7"/>
  <c r="EM8"/>
  <c r="EA8"/>
  <c r="EM18"/>
  <c r="EA18"/>
  <c r="EM6"/>
  <c r="EA6"/>
  <c r="EM64"/>
  <c r="EA64"/>
  <c r="EM51"/>
  <c r="EA51"/>
  <c r="GI18"/>
  <c r="FW18"/>
  <c r="GI6"/>
  <c r="FW6"/>
  <c r="GI12"/>
  <c r="FW12"/>
  <c r="BS10"/>
  <c r="BG10"/>
  <c r="BS54"/>
  <c r="BG54"/>
  <c r="BS51"/>
  <c r="BG51"/>
  <c r="BS61"/>
  <c r="BG61"/>
  <c r="BS9"/>
  <c r="BG9"/>
  <c r="BS42"/>
  <c r="BG42"/>
  <c r="BS28"/>
  <c r="BG28"/>
  <c r="BS36"/>
  <c r="BG36"/>
  <c r="BS50"/>
  <c r="BG50"/>
  <c r="BS12"/>
  <c r="BG12"/>
  <c r="BS15"/>
  <c r="BG15"/>
  <c r="BS64"/>
  <c r="BG64"/>
  <c r="BS19"/>
  <c r="BG19"/>
  <c r="BS21"/>
  <c r="BG21"/>
  <c r="BS13"/>
  <c r="BG13"/>
  <c r="BS48"/>
  <c r="BG48"/>
  <c r="BS20"/>
  <c r="BG20"/>
  <c r="BS37"/>
  <c r="BG37"/>
  <c r="BS30"/>
  <c r="BG30"/>
  <c r="BS45"/>
  <c r="BG45"/>
  <c r="BS55"/>
  <c r="BG55"/>
  <c r="BS58"/>
  <c r="BG58"/>
  <c r="BS40"/>
  <c r="BG40"/>
  <c r="BS18"/>
  <c r="BG18"/>
  <c r="BS8"/>
  <c r="BG8"/>
  <c r="BS6"/>
  <c r="BG6"/>
  <c r="BS27"/>
  <c r="BG27"/>
  <c r="BS24"/>
  <c r="BG24"/>
  <c r="BS7"/>
  <c r="BG7"/>
  <c r="BS25"/>
  <c r="BG25"/>
  <c r="BS56"/>
  <c r="BG56"/>
  <c r="BS34"/>
  <c r="BG34"/>
  <c r="BS43"/>
  <c r="BG43"/>
  <c r="BS44"/>
  <c r="BG44"/>
  <c r="BS52"/>
  <c r="BG52"/>
  <c r="BS60"/>
  <c r="BG60"/>
  <c r="BS38"/>
  <c r="BG38"/>
  <c r="BS62"/>
  <c r="BG62"/>
  <c r="BS33"/>
  <c r="BG33"/>
  <c r="BS63"/>
  <c r="BG63"/>
  <c r="BS39"/>
  <c r="BG39"/>
  <c r="BS46"/>
  <c r="BG46"/>
  <c r="BS31"/>
  <c r="BG31"/>
  <c r="DO61"/>
  <c r="DC61"/>
  <c r="DO60"/>
  <c r="DC60"/>
  <c r="DO57"/>
  <c r="DC57"/>
  <c r="DO54"/>
  <c r="DC54"/>
  <c r="DO50"/>
  <c r="DC50"/>
  <c r="DO49"/>
  <c r="DC49"/>
  <c r="DO40"/>
  <c r="DC40"/>
  <c r="DO46"/>
  <c r="DC46"/>
  <c r="DO37"/>
  <c r="DC37"/>
  <c r="DO36"/>
  <c r="DC36"/>
  <c r="DO33"/>
  <c r="DC33"/>
  <c r="DO30"/>
  <c r="DC30"/>
  <c r="DO26"/>
  <c r="DC26"/>
  <c r="DO18"/>
  <c r="DC18"/>
  <c r="DO19"/>
  <c r="DC19"/>
  <c r="DO6"/>
  <c r="DC6"/>
  <c r="DO13"/>
  <c r="DC13"/>
  <c r="DO14"/>
  <c r="DC14"/>
  <c r="DO9"/>
  <c r="DC9"/>
  <c r="DO7"/>
  <c r="DC7"/>
  <c r="DO8"/>
  <c r="DC8"/>
  <c r="DO10"/>
  <c r="DC10"/>
  <c r="DO15"/>
  <c r="DC15"/>
  <c r="DO12"/>
  <c r="DC12"/>
  <c r="DO16"/>
  <c r="DC16"/>
  <c r="DO21"/>
  <c r="DC21"/>
  <c r="DO20"/>
  <c r="DC20"/>
  <c r="DO31"/>
  <c r="DC31"/>
  <c r="DO32"/>
  <c r="DC32"/>
  <c r="DO27"/>
  <c r="DC27"/>
  <c r="DO34"/>
  <c r="DC34"/>
  <c r="DO43"/>
  <c r="DC43"/>
  <c r="DO44"/>
  <c r="DC44"/>
  <c r="DO48"/>
  <c r="DC48"/>
  <c r="DO45"/>
  <c r="DC45"/>
  <c r="DO52"/>
  <c r="DC52"/>
  <c r="DO51"/>
  <c r="DC51"/>
  <c r="DO55"/>
  <c r="DC55"/>
  <c r="DO56"/>
  <c r="DC56"/>
  <c r="DO58"/>
  <c r="DC58"/>
  <c r="DO62"/>
  <c r="DC62"/>
  <c r="DO25"/>
  <c r="DC25"/>
  <c r="DO64"/>
  <c r="DC64"/>
  <c r="DO38"/>
  <c r="DC38"/>
  <c r="DO24"/>
  <c r="DC24"/>
  <c r="DO63"/>
  <c r="DC63"/>
  <c r="DO22"/>
  <c r="DC22"/>
  <c r="DO39"/>
  <c r="DC39"/>
  <c r="DO28"/>
  <c r="DC28"/>
  <c r="BS26"/>
  <c r="BG26"/>
  <c r="BS32"/>
  <c r="BG32"/>
  <c r="BS16"/>
  <c r="BG16"/>
  <c r="AA42"/>
  <c r="O42"/>
  <c r="CQ25"/>
  <c r="CE25"/>
  <c r="CQ15"/>
  <c r="CE15"/>
  <c r="AA62"/>
  <c r="O62"/>
  <c r="AA46"/>
  <c r="O46"/>
  <c r="AA30"/>
  <c r="O30"/>
  <c r="AA38"/>
  <c r="O38"/>
  <c r="AA43"/>
  <c r="O43"/>
  <c r="AC30"/>
  <c r="EM12"/>
  <c r="EA12"/>
  <c r="EV20"/>
  <c r="AC42"/>
  <c r="GR8"/>
  <c r="GQ6"/>
  <c r="GR6"/>
  <c r="GQ8"/>
  <c r="GR7"/>
  <c r="GQ7"/>
  <c r="EU6"/>
  <c r="EV47"/>
  <c r="EU23"/>
  <c r="EV36"/>
  <c r="EV17"/>
  <c r="EV42"/>
  <c r="EV53"/>
  <c r="EV46"/>
  <c r="EU45"/>
  <c r="EV40"/>
  <c r="EU27"/>
  <c r="EV26"/>
  <c r="EV24"/>
  <c r="EU19"/>
  <c r="EU15"/>
  <c r="EU17"/>
  <c r="EV8"/>
  <c r="EU22"/>
  <c r="EV10"/>
  <c r="EV29"/>
  <c r="EU35"/>
  <c r="EV34"/>
  <c r="EU37"/>
  <c r="EU38"/>
  <c r="EU44"/>
  <c r="EU50"/>
  <c r="EU47"/>
  <c r="EU53"/>
  <c r="EU48"/>
  <c r="EU13"/>
  <c r="EV50"/>
  <c r="EV23"/>
  <c r="EU34"/>
  <c r="EU43"/>
  <c r="EV55"/>
  <c r="EU41"/>
  <c r="EU39"/>
  <c r="EV7"/>
  <c r="EV28"/>
  <c r="EU25"/>
  <c r="EV18"/>
  <c r="EV15"/>
  <c r="EU18"/>
  <c r="EU9"/>
  <c r="EV21"/>
  <c r="EV12"/>
  <c r="EU26"/>
  <c r="EV33"/>
  <c r="EU31"/>
  <c r="EU36"/>
  <c r="EV41"/>
  <c r="EV44"/>
  <c r="EU46"/>
  <c r="EV48"/>
  <c r="EU51"/>
  <c r="CY46"/>
  <c r="CZ33"/>
  <c r="CZ12"/>
  <c r="CY34"/>
  <c r="CY20"/>
  <c r="CY27"/>
  <c r="CY39"/>
  <c r="CZ16"/>
  <c r="CZ42"/>
  <c r="CZ7"/>
  <c r="CY24"/>
  <c r="CY29"/>
  <c r="CZ38"/>
  <c r="CY43"/>
  <c r="CZ17"/>
  <c r="CY48"/>
  <c r="CZ10"/>
  <c r="CZ32"/>
  <c r="CZ34"/>
  <c r="CZ44"/>
  <c r="CZ37"/>
  <c r="CY41"/>
  <c r="CZ30"/>
  <c r="CZ31"/>
  <c r="CY55"/>
  <c r="CY44"/>
  <c r="CY32"/>
  <c r="CZ27"/>
  <c r="CY10"/>
  <c r="CY40"/>
  <c r="CZ19"/>
  <c r="CY30"/>
  <c r="CZ53"/>
  <c r="CY49"/>
  <c r="CY8"/>
  <c r="CY50"/>
  <c r="CY6"/>
  <c r="CY54"/>
  <c r="CY36"/>
  <c r="CZ23"/>
  <c r="CY33"/>
  <c r="CZ9"/>
  <c r="CY28"/>
  <c r="CY37"/>
  <c r="CY15"/>
  <c r="CZ15"/>
  <c r="CZ13"/>
  <c r="CY16"/>
  <c r="CY26"/>
  <c r="CZ49"/>
  <c r="CA36"/>
  <c r="CB39"/>
  <c r="CB46"/>
  <c r="CB30"/>
  <c r="CB24"/>
  <c r="CB9"/>
  <c r="CA10"/>
  <c r="CB23"/>
  <c r="CB42"/>
  <c r="CA20"/>
  <c r="CA35"/>
  <c r="CA21"/>
  <c r="CA49"/>
  <c r="CA45"/>
  <c r="CB54"/>
  <c r="CA22"/>
  <c r="CB44"/>
  <c r="CA38"/>
  <c r="CB35"/>
  <c r="CA29"/>
  <c r="CB6"/>
  <c r="CB34"/>
  <c r="CB8"/>
  <c r="CB10"/>
  <c r="CA33"/>
  <c r="CA34"/>
  <c r="CA15"/>
  <c r="CB32"/>
  <c r="CB48"/>
  <c r="CA27"/>
  <c r="CB17"/>
  <c r="CB11"/>
  <c r="CB22"/>
  <c r="CA41"/>
  <c r="CB50"/>
  <c r="CA16"/>
  <c r="CB16"/>
  <c r="CA17"/>
  <c r="CA32"/>
  <c r="CB26"/>
  <c r="CB18"/>
  <c r="CA47"/>
  <c r="CB13"/>
  <c r="CB19"/>
  <c r="CB40"/>
  <c r="CA53"/>
  <c r="CB55"/>
  <c r="CB21"/>
  <c r="CA40"/>
  <c r="CA13"/>
  <c r="AH39"/>
  <c r="AH48"/>
  <c r="AH28"/>
  <c r="AG55"/>
  <c r="AG44"/>
  <c r="AG8"/>
  <c r="AG7"/>
  <c r="AH9"/>
  <c r="AH47"/>
  <c r="AG16"/>
  <c r="AG23"/>
  <c r="AG22"/>
  <c r="AH21"/>
  <c r="AG10"/>
  <c r="AG27"/>
  <c r="AG19"/>
  <c r="AH13"/>
  <c r="AH19"/>
  <c r="AH38"/>
  <c r="AH20"/>
  <c r="AG20"/>
  <c r="AH31"/>
  <c r="AH41"/>
  <c r="AG46"/>
  <c r="AH36"/>
  <c r="AH24"/>
  <c r="AH34"/>
  <c r="AG38"/>
  <c r="AG11"/>
  <c r="AG32"/>
  <c r="AG30"/>
  <c r="AG39"/>
  <c r="AG48"/>
  <c r="AH18"/>
  <c r="AH15"/>
  <c r="AH42"/>
  <c r="AH35"/>
  <c r="AH55"/>
  <c r="AG12"/>
  <c r="AG47"/>
  <c r="AG15"/>
  <c r="AG43"/>
  <c r="AG25"/>
  <c r="AG36"/>
  <c r="AH25"/>
  <c r="AG24"/>
  <c r="AH43"/>
  <c r="AG34"/>
  <c r="AH17"/>
  <c r="AG54"/>
  <c r="AH12"/>
  <c r="AG29"/>
  <c r="AH53"/>
  <c r="AG40"/>
  <c r="AG31"/>
  <c r="AG18"/>
  <c r="AH27"/>
  <c r="AG37"/>
  <c r="AG41"/>
  <c r="AH32"/>
  <c r="AH54"/>
  <c r="AH7"/>
  <c r="AH22"/>
  <c r="AH16"/>
  <c r="AH8"/>
  <c r="AG17"/>
  <c r="AH33"/>
  <c r="AG26"/>
  <c r="AH26"/>
  <c r="FJ10"/>
  <c r="FO60"/>
  <c r="FO48"/>
  <c r="FO54"/>
  <c r="FO18"/>
  <c r="FO6"/>
  <c r="FO36"/>
  <c r="FO12"/>
  <c r="FO30"/>
  <c r="FO24"/>
  <c r="FO42"/>
  <c r="FK12"/>
  <c r="EY12"/>
  <c r="FK56"/>
  <c r="EY56"/>
  <c r="FK45"/>
  <c r="EY45"/>
  <c r="FK34"/>
  <c r="EY34"/>
  <c r="FK30"/>
  <c r="EY30"/>
  <c r="FK19"/>
  <c r="EY19"/>
  <c r="FK61"/>
  <c r="EY61"/>
  <c r="FK50"/>
  <c r="EY50"/>
  <c r="FK39"/>
  <c r="EY39"/>
  <c r="FK28"/>
  <c r="EY28"/>
  <c r="FK24"/>
  <c r="EY24"/>
  <c r="FK16"/>
  <c r="EY16"/>
  <c r="FK13"/>
  <c r="EY13"/>
  <c r="FK55"/>
  <c r="EY55"/>
  <c r="FK44"/>
  <c r="EY44"/>
  <c r="FK33"/>
  <c r="EY33"/>
  <c r="FK22"/>
  <c r="EY22"/>
  <c r="FK64"/>
  <c r="EY64"/>
  <c r="FK60"/>
  <c r="EY60"/>
  <c r="FK49"/>
  <c r="EY49"/>
  <c r="FK38"/>
  <c r="EY38"/>
  <c r="FK27"/>
  <c r="EY27"/>
  <c r="FK18"/>
  <c r="EY18"/>
  <c r="FK9"/>
  <c r="EY9"/>
  <c r="FK25"/>
  <c r="EY25"/>
  <c r="FK15"/>
  <c r="EY15"/>
  <c r="FK58"/>
  <c r="EY58"/>
  <c r="FK54"/>
  <c r="EY54"/>
  <c r="FK43"/>
  <c r="EY43"/>
  <c r="FK32"/>
  <c r="EY32"/>
  <c r="FK21"/>
  <c r="EY21"/>
  <c r="FK63"/>
  <c r="EY63"/>
  <c r="FK52"/>
  <c r="EY52"/>
  <c r="FK48"/>
  <c r="EY48"/>
  <c r="FK37"/>
  <c r="EY37"/>
  <c r="FK26"/>
  <c r="EY26"/>
  <c r="FK14"/>
  <c r="EY14"/>
  <c r="FK57"/>
  <c r="EY57"/>
  <c r="FK46"/>
  <c r="EY46"/>
  <c r="FK42"/>
  <c r="EY42"/>
  <c r="FK31"/>
  <c r="EY31"/>
  <c r="FK20"/>
  <c r="EY20"/>
  <c r="FK62"/>
  <c r="EY62"/>
  <c r="FK51"/>
  <c r="EY51"/>
  <c r="FK40"/>
  <c r="EY40"/>
  <c r="FK36"/>
  <c r="EY36"/>
  <c r="FK7"/>
  <c r="EY7"/>
  <c r="L9" i="11"/>
  <c r="L66"/>
  <c r="L65"/>
  <c r="J12"/>
  <c r="J27"/>
  <c r="L27"/>
  <c r="J29"/>
  <c r="L29"/>
  <c r="J33"/>
  <c r="J39"/>
  <c r="L39"/>
  <c r="L15"/>
  <c r="J74"/>
  <c r="J83"/>
  <c r="L83"/>
  <c r="J36"/>
  <c r="L36"/>
  <c r="J73"/>
  <c r="L73"/>
  <c r="L63"/>
  <c r="J11"/>
  <c r="J25"/>
  <c r="L30"/>
  <c r="L94"/>
  <c r="L12"/>
  <c r="L13"/>
  <c r="L62"/>
  <c r="L69"/>
  <c r="L64"/>
  <c r="L81"/>
  <c r="L40"/>
  <c r="J7"/>
  <c r="L7"/>
  <c r="J31"/>
  <c r="L31"/>
  <c r="J86"/>
  <c r="L86"/>
  <c r="J84"/>
  <c r="L11"/>
  <c r="J16"/>
  <c r="L16"/>
  <c r="J41"/>
  <c r="L10"/>
  <c r="L93"/>
  <c r="AT121" i="12"/>
  <c r="AU107"/>
  <c r="AU121"/>
  <c r="O5" i="11"/>
  <c r="P5"/>
  <c r="L84"/>
  <c r="AS97" i="12"/>
  <c r="AU97"/>
  <c r="O2" i="11"/>
  <c r="P2"/>
  <c r="AU90" i="12"/>
  <c r="L74" i="11"/>
  <c r="AU74" i="12"/>
  <c r="O6" i="11"/>
  <c r="P6"/>
  <c r="L41"/>
  <c r="AU56" i="12"/>
  <c r="AU34"/>
  <c r="L25" i="11"/>
  <c r="L33"/>
  <c r="AS31" i="12"/>
  <c r="AU31"/>
  <c r="O4" i="11"/>
  <c r="P4"/>
  <c r="AU12" i="12"/>
  <c r="AE64" i="1"/>
  <c r="AE27"/>
  <c r="AE67"/>
  <c r="AE31"/>
  <c r="AD31"/>
  <c r="AE60"/>
  <c r="AE56"/>
  <c r="AE30"/>
  <c r="AD30"/>
  <c r="AE44"/>
  <c r="AE8"/>
  <c r="AD8"/>
  <c r="AE6"/>
  <c r="AD6"/>
  <c r="AE85"/>
  <c r="AD85"/>
  <c r="AE9"/>
  <c r="AD9"/>
  <c r="AB9"/>
  <c r="AC9"/>
  <c r="AB48"/>
  <c r="AB47"/>
  <c r="AE48"/>
  <c r="AD48"/>
  <c r="AC48"/>
  <c r="AE81"/>
  <c r="AE32"/>
  <c r="AD32"/>
  <c r="AE37"/>
  <c r="AD37"/>
  <c r="AB33"/>
  <c r="AB29"/>
  <c r="AB78"/>
  <c r="AE17"/>
  <c r="AD17"/>
  <c r="AE38"/>
  <c r="AD38"/>
  <c r="AB38"/>
  <c r="AC38"/>
  <c r="AD69"/>
  <c r="AB63"/>
  <c r="AB45"/>
  <c r="AB31"/>
  <c r="AE35"/>
  <c r="AD35"/>
  <c r="AE79"/>
  <c r="AE12"/>
  <c r="AD12"/>
  <c r="AC12"/>
  <c r="AE21"/>
  <c r="AE23"/>
  <c r="AD23"/>
  <c r="AE42"/>
  <c r="AE25"/>
  <c r="AE54"/>
  <c r="AE55"/>
  <c r="AD55"/>
  <c r="AB55"/>
  <c r="AC55"/>
  <c r="AE41"/>
  <c r="AE63"/>
  <c r="AD63"/>
  <c r="AC63"/>
  <c r="AE34"/>
  <c r="AD66"/>
  <c r="AE46"/>
  <c r="AE47"/>
  <c r="AD47"/>
  <c r="AC47"/>
  <c r="AE68"/>
  <c r="AD68"/>
  <c r="AB68"/>
  <c r="AC68"/>
  <c r="AE40"/>
  <c r="AD40"/>
  <c r="AB40"/>
  <c r="AC40"/>
  <c r="AE58"/>
  <c r="AE50"/>
  <c r="AD50"/>
  <c r="AB5"/>
  <c r="AB51"/>
  <c r="AB4"/>
  <c r="AB58"/>
  <c r="AB8"/>
  <c r="AB56"/>
  <c r="AB66"/>
  <c r="AB69"/>
  <c r="AC69"/>
  <c r="AB6"/>
  <c r="AB17"/>
  <c r="AB81"/>
  <c r="AB7"/>
  <c r="AB10"/>
  <c r="AB53"/>
  <c r="AB59"/>
  <c r="AE49"/>
  <c r="AD49"/>
  <c r="AE18"/>
  <c r="AE39"/>
  <c r="AD39"/>
  <c r="AB39"/>
  <c r="AC39"/>
  <c r="AE29"/>
  <c r="AD29"/>
  <c r="AE65"/>
  <c r="AD65"/>
  <c r="AB65"/>
  <c r="AC65"/>
  <c r="AE22"/>
  <c r="AE51"/>
  <c r="AE45"/>
  <c r="AD45"/>
  <c r="AC45"/>
  <c r="AE43"/>
  <c r="AD43"/>
  <c r="AE71"/>
  <c r="AD71"/>
  <c r="AB52"/>
  <c r="AB21"/>
  <c r="AB25"/>
  <c r="AB15"/>
  <c r="AB13"/>
  <c r="AB26"/>
  <c r="AB35"/>
  <c r="AB34"/>
  <c r="AB73"/>
  <c r="AB43"/>
  <c r="AB71"/>
  <c r="AC71"/>
  <c r="AD56"/>
  <c r="AC56"/>
  <c r="AB16"/>
  <c r="AB23"/>
  <c r="AB61"/>
  <c r="AD74"/>
  <c r="AB74"/>
  <c r="AC74"/>
  <c r="AB30"/>
  <c r="AB24"/>
  <c r="AB28"/>
  <c r="AB54"/>
  <c r="AB70"/>
  <c r="AB42"/>
  <c r="AB37"/>
  <c r="AB36"/>
  <c r="AB41"/>
  <c r="AB49"/>
  <c r="AB20"/>
  <c r="AB14"/>
  <c r="AB85"/>
  <c r="AB32"/>
  <c r="AB67"/>
  <c r="AB22"/>
  <c r="AD15"/>
  <c r="AD22"/>
  <c r="AD53"/>
  <c r="AC53"/>
  <c r="AE10"/>
  <c r="AD10"/>
  <c r="AD64"/>
  <c r="AC64"/>
  <c r="AD44"/>
  <c r="AC44"/>
  <c r="AD82"/>
  <c r="AE84"/>
  <c r="AE13"/>
  <c r="AD13"/>
  <c r="AC13"/>
  <c r="AD46"/>
  <c r="AE72"/>
  <c r="AD72"/>
  <c r="AD79"/>
  <c r="AC79"/>
  <c r="AE5"/>
  <c r="AE59"/>
  <c r="AD59"/>
  <c r="AC59"/>
  <c r="AD42"/>
  <c r="AC42"/>
  <c r="AE26"/>
  <c r="AD26"/>
  <c r="AC26"/>
  <c r="AE20"/>
  <c r="AE33"/>
  <c r="AD33"/>
  <c r="AC33"/>
  <c r="AE4"/>
  <c r="AD4"/>
  <c r="AC4"/>
  <c r="AE28"/>
  <c r="AD28"/>
  <c r="AC28"/>
  <c r="AD58"/>
  <c r="AC58"/>
  <c r="AD19"/>
  <c r="AC19"/>
  <c r="AE75"/>
  <c r="AD75"/>
  <c r="AB75"/>
  <c r="AC75"/>
  <c r="AD20"/>
  <c r="AC20"/>
  <c r="AE57"/>
  <c r="AD57"/>
  <c r="AC57"/>
  <c r="AE73"/>
  <c r="AD73"/>
  <c r="AC73"/>
  <c r="AE83"/>
  <c r="AD83"/>
  <c r="AC83"/>
  <c r="AE61"/>
  <c r="AD61"/>
  <c r="AC61"/>
  <c r="AD34"/>
  <c r="AB72"/>
  <c r="AC72"/>
  <c r="AD16"/>
  <c r="AD60"/>
  <c r="AC60"/>
  <c r="AD7"/>
  <c r="AC7"/>
  <c r="AD21"/>
  <c r="AC21"/>
  <c r="AD54"/>
  <c r="AC54"/>
  <c r="AD51"/>
  <c r="AD81"/>
  <c r="AD18"/>
  <c r="AD67"/>
  <c r="AC67"/>
  <c r="AD11"/>
  <c r="AD24"/>
  <c r="AE52"/>
  <c r="AD52"/>
  <c r="AC52"/>
  <c r="AD5"/>
  <c r="AC5"/>
  <c r="AD27"/>
  <c r="AD78"/>
  <c r="AC78"/>
  <c r="AD84"/>
  <c r="AC84"/>
  <c r="AD25"/>
  <c r="AD14"/>
  <c r="AD36"/>
  <c r="AC36"/>
  <c r="AD70"/>
  <c r="AD41"/>
  <c r="B4"/>
  <c r="B5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AC14"/>
  <c r="AC81"/>
  <c r="AC34"/>
  <c r="AC15"/>
  <c r="AC85"/>
  <c r="AB27"/>
  <c r="AC27"/>
  <c r="AB82"/>
  <c r="AC82"/>
  <c r="AC46"/>
  <c r="D76"/>
  <c r="AC49"/>
  <c r="AC37"/>
  <c r="AC18"/>
  <c r="AC32"/>
  <c r="AC11"/>
  <c r="AC35"/>
  <c r="AC25"/>
  <c r="AC43"/>
  <c r="AC66"/>
  <c r="AC23"/>
  <c r="AC6"/>
  <c r="AC22"/>
  <c r="AC41"/>
  <c r="AC70"/>
  <c r="AC24"/>
  <c r="AC16"/>
  <c r="AC51"/>
  <c r="AC50"/>
  <c r="AC17"/>
  <c r="AC29"/>
  <c r="AC8"/>
  <c r="AC30"/>
  <c r="AC31"/>
  <c r="AC10"/>
  <c r="AH46" i="40"/>
  <c r="AH37"/>
  <c r="AG50"/>
  <c r="AG21"/>
  <c r="AH10"/>
  <c r="AG51"/>
  <c r="AH51"/>
  <c r="AG28"/>
  <c r="AH14"/>
  <c r="AH6"/>
  <c r="AG14"/>
  <c r="AG6"/>
  <c r="AH50"/>
  <c r="AH52"/>
  <c r="AH29"/>
  <c r="AH49"/>
  <c r="AH11"/>
  <c r="AG49"/>
  <c r="AG35"/>
  <c r="AG13"/>
  <c r="AH23"/>
  <c r="AH30"/>
  <c r="AH45"/>
  <c r="AH40"/>
  <c r="AG9"/>
  <c r="AH44"/>
  <c r="AG42"/>
  <c r="AG45"/>
  <c r="AG33"/>
  <c r="AG53"/>
  <c r="AG52"/>
  <c r="DW9"/>
  <c r="DX6"/>
  <c r="DX40"/>
  <c r="DX13"/>
  <c r="DW26"/>
  <c r="DW46"/>
  <c r="DW28"/>
  <c r="DW42"/>
  <c r="DW31"/>
  <c r="DW7"/>
  <c r="DX26"/>
  <c r="DX42"/>
  <c r="DX47"/>
  <c r="DX22"/>
  <c r="DX21"/>
  <c r="DX52"/>
  <c r="DX19"/>
  <c r="DX37"/>
  <c r="DW53"/>
  <c r="DW55"/>
  <c r="DW11"/>
  <c r="DW39"/>
  <c r="DX15"/>
  <c r="DX31"/>
  <c r="DX48"/>
  <c r="DW14"/>
  <c r="DW17"/>
  <c r="DX50"/>
  <c r="DW18"/>
  <c r="DW33"/>
  <c r="DX51"/>
  <c r="DX12"/>
  <c r="DX9"/>
  <c r="DX38"/>
  <c r="DX14"/>
  <c r="DW30"/>
  <c r="DX44"/>
  <c r="DX32"/>
  <c r="DX36"/>
  <c r="DX29"/>
  <c r="DX7"/>
  <c r="DW21"/>
  <c r="DX41"/>
  <c r="DW52"/>
  <c r="DX18"/>
  <c r="DW19"/>
  <c r="DW50"/>
  <c r="DW20"/>
  <c r="DX35"/>
  <c r="DW51"/>
  <c r="DW41"/>
  <c r="DX30"/>
  <c r="DX25"/>
  <c r="DX8"/>
  <c r="DW23"/>
  <c r="DX39"/>
  <c r="DW54"/>
  <c r="DW6"/>
  <c r="DW15"/>
  <c r="DW47"/>
  <c r="DX17"/>
  <c r="DX34"/>
  <c r="DX49"/>
  <c r="DW16"/>
  <c r="DX53"/>
  <c r="DW37"/>
  <c r="DW12"/>
  <c r="DW29"/>
  <c r="DX45"/>
  <c r="DW36"/>
  <c r="DW34"/>
  <c r="DW27"/>
  <c r="DX10"/>
  <c r="DW24"/>
  <c r="DW40"/>
  <c r="DX24"/>
  <c r="DX46"/>
  <c r="DX33"/>
  <c r="DX11"/>
  <c r="DX27"/>
  <c r="DW43"/>
  <c r="DX43"/>
  <c r="DW25"/>
  <c r="DX23"/>
  <c r="DX55"/>
  <c r="DW22"/>
  <c r="DW38"/>
  <c r="DX54"/>
  <c r="DW8"/>
  <c r="DW13"/>
  <c r="DW45"/>
  <c r="DX16"/>
  <c r="DW32"/>
  <c r="DW48"/>
  <c r="DX20"/>
  <c r="DW49"/>
  <c r="DW35"/>
  <c r="DW10"/>
  <c r="DX28"/>
  <c r="DW44"/>
  <c r="CY7"/>
  <c r="CZ52"/>
  <c r="CZ48"/>
  <c r="CZ51"/>
  <c r="CY47"/>
  <c r="CY19"/>
  <c r="CY12"/>
  <c r="CZ8"/>
  <c r="CY18"/>
  <c r="CY23"/>
  <c r="CZ29"/>
  <c r="CY31"/>
  <c r="CZ46"/>
  <c r="CZ47"/>
  <c r="CZ22"/>
  <c r="CZ40"/>
  <c r="CY17"/>
  <c r="CZ18"/>
  <c r="CZ28"/>
  <c r="CZ36"/>
  <c r="CZ45"/>
  <c r="CY9"/>
  <c r="CZ14"/>
  <c r="CZ41"/>
  <c r="CZ39"/>
  <c r="CZ26"/>
  <c r="CZ24"/>
  <c r="CZ35"/>
  <c r="CY13"/>
  <c r="CZ6"/>
  <c r="CY42"/>
  <c r="CY51"/>
  <c r="CY52"/>
  <c r="CZ43"/>
  <c r="CY38"/>
  <c r="CZ54"/>
  <c r="CY14"/>
  <c r="CY53"/>
  <c r="CY35"/>
  <c r="CY25"/>
  <c r="CY22"/>
  <c r="CZ50"/>
  <c r="CZ11"/>
  <c r="CZ55"/>
  <c r="CY11"/>
  <c r="CZ20"/>
  <c r="CZ25"/>
  <c r="CZ21"/>
  <c r="CY45"/>
  <c r="CY21"/>
  <c r="FK10"/>
  <c r="EY10"/>
  <c r="FK8"/>
  <c r="EY8"/>
  <c r="FS49"/>
  <c r="FK6"/>
  <c r="EY6"/>
  <c r="CA25"/>
  <c r="CA8"/>
  <c r="CB25"/>
  <c r="CA46"/>
  <c r="CB43"/>
  <c r="CB33"/>
  <c r="CA42"/>
  <c r="CB52"/>
  <c r="CA23"/>
  <c r="CB36"/>
  <c r="CA50"/>
  <c r="CB45"/>
  <c r="CA14"/>
  <c r="CB49"/>
  <c r="CB31"/>
  <c r="CA44"/>
  <c r="CA37"/>
  <c r="CA48"/>
  <c r="CB28"/>
  <c r="CA26"/>
  <c r="CA39"/>
  <c r="CA24"/>
  <c r="CA30"/>
  <c r="CA43"/>
  <c r="CA9"/>
  <c r="CB15"/>
  <c r="CB12"/>
  <c r="CA6"/>
  <c r="CA28"/>
  <c r="CB27"/>
  <c r="CA54"/>
  <c r="CB37"/>
  <c r="CB38"/>
  <c r="CA31"/>
  <c r="CA12"/>
  <c r="CB41"/>
  <c r="CB14"/>
  <c r="CB20"/>
  <c r="CA11"/>
  <c r="CB29"/>
  <c r="CA18"/>
  <c r="CB53"/>
  <c r="CA7"/>
  <c r="CB47"/>
  <c r="CA55"/>
  <c r="CA52"/>
  <c r="CA19"/>
  <c r="CB7"/>
  <c r="CB51"/>
  <c r="CA51"/>
  <c r="CU48"/>
  <c r="DS30"/>
  <c r="DS60"/>
  <c r="DS12"/>
  <c r="DS54"/>
  <c r="DS24"/>
  <c r="DS6"/>
  <c r="DS42"/>
  <c r="DS36"/>
  <c r="DS18"/>
  <c r="J17" i="11"/>
  <c r="L17"/>
  <c r="J6"/>
  <c r="J8"/>
  <c r="L8"/>
  <c r="J67"/>
  <c r="L67"/>
  <c r="J95"/>
  <c r="L95"/>
  <c r="J97"/>
  <c r="L97"/>
  <c r="L91"/>
  <c r="J32"/>
  <c r="L32"/>
  <c r="J43"/>
  <c r="L43"/>
  <c r="J46"/>
  <c r="L46"/>
  <c r="J18"/>
  <c r="L18"/>
  <c r="J89"/>
  <c r="EU54" i="40"/>
  <c r="EU55"/>
  <c r="EV49"/>
  <c r="EV11"/>
  <c r="EV37"/>
  <c r="EU32"/>
  <c r="EV30"/>
  <c r="EU30"/>
  <c r="EU24"/>
  <c r="EU8"/>
  <c r="EV19"/>
  <c r="EU14"/>
  <c r="EU16"/>
  <c r="EV22"/>
  <c r="EU7"/>
  <c r="EV27"/>
  <c r="EV31"/>
  <c r="EU40"/>
  <c r="EU49"/>
  <c r="EV51"/>
  <c r="EV13"/>
  <c r="EU10"/>
  <c r="EV32"/>
  <c r="EV54"/>
  <c r="EV43"/>
  <c r="EV45"/>
  <c r="EV39"/>
  <c r="EV9"/>
  <c r="EU29"/>
  <c r="EV25"/>
  <c r="EU21"/>
  <c r="EU20"/>
  <c r="EV16"/>
  <c r="EV14"/>
  <c r="EU12"/>
  <c r="EU11"/>
  <c r="EU28"/>
  <c r="EV35"/>
  <c r="EV38"/>
  <c r="EV6"/>
  <c r="EV52"/>
  <c r="EU52"/>
  <c r="EU33"/>
  <c r="EU42"/>
  <c r="CU60"/>
  <c r="CU36"/>
  <c r="CU30"/>
  <c r="CU18"/>
  <c r="CU42"/>
  <c r="CU54"/>
  <c r="CU12"/>
  <c r="CU24"/>
  <c r="J28" i="11"/>
  <c r="L28"/>
  <c r="J85"/>
  <c r="L85"/>
  <c r="J14"/>
  <c r="L14"/>
  <c r="L24"/>
  <c r="L89"/>
  <c r="J53"/>
  <c r="L53"/>
  <c r="EP35" i="40"/>
  <c r="EP65"/>
  <c r="EQ30"/>
  <c r="BV53"/>
  <c r="BW48"/>
  <c r="EQ60"/>
  <c r="L37" i="11"/>
  <c r="AS46" i="12"/>
  <c r="AU46"/>
  <c r="AS48"/>
  <c r="AU48"/>
  <c r="O3" i="11"/>
  <c r="P3"/>
  <c r="EQ6" i="40"/>
  <c r="EQ48"/>
  <c r="EQ42"/>
  <c r="BW54"/>
  <c r="BW42"/>
  <c r="BW60"/>
  <c r="BW30"/>
  <c r="EQ24"/>
  <c r="EQ18"/>
  <c r="FT43"/>
  <c r="FT37"/>
  <c r="EQ36"/>
  <c r="EQ54"/>
  <c r="EQ12"/>
  <c r="BW18"/>
  <c r="BW6"/>
  <c r="BW36"/>
  <c r="BW24"/>
  <c r="BW12"/>
  <c r="FT55"/>
  <c r="FS28"/>
  <c r="FS36"/>
  <c r="FS44"/>
  <c r="FS52"/>
  <c r="FS10"/>
  <c r="FS18"/>
  <c r="FS22"/>
  <c r="FT12"/>
  <c r="FT20"/>
  <c r="FT28"/>
  <c r="FT36"/>
  <c r="FT44"/>
  <c r="FT52"/>
  <c r="FS29"/>
  <c r="FS37"/>
  <c r="FS41"/>
  <c r="FS45"/>
  <c r="FS53"/>
  <c r="FS7"/>
  <c r="FS11"/>
  <c r="FS15"/>
  <c r="FS19"/>
  <c r="FS23"/>
  <c r="FT9"/>
  <c r="FT14"/>
  <c r="FT17"/>
  <c r="FT21"/>
  <c r="FT25"/>
  <c r="FT29"/>
  <c r="FT33"/>
  <c r="FT41"/>
  <c r="FT45"/>
  <c r="FT49"/>
  <c r="FT53"/>
  <c r="FS31"/>
  <c r="FT54"/>
  <c r="FT46"/>
  <c r="FT38"/>
  <c r="FT30"/>
  <c r="FT22"/>
  <c r="FT13"/>
  <c r="FT6"/>
  <c r="FS12"/>
  <c r="FS54"/>
  <c r="FS46"/>
  <c r="FS38"/>
  <c r="FS30"/>
  <c r="FS24"/>
  <c r="FS32"/>
  <c r="FS40"/>
  <c r="FS48"/>
  <c r="FS6"/>
  <c r="FS14"/>
  <c r="FS20"/>
  <c r="FT8"/>
  <c r="FT16"/>
  <c r="FT24"/>
  <c r="FT32"/>
  <c r="FT40"/>
  <c r="FS25"/>
  <c r="FS33"/>
  <c r="FS39"/>
  <c r="FS43"/>
  <c r="FS47"/>
  <c r="FS51"/>
  <c r="FS55"/>
  <c r="FS9"/>
  <c r="FS13"/>
  <c r="FS17"/>
  <c r="FS21"/>
  <c r="FT7"/>
  <c r="FT11"/>
  <c r="FT15"/>
  <c r="FT19"/>
  <c r="FT23"/>
  <c r="FT27"/>
  <c r="FT31"/>
  <c r="FT35"/>
  <c r="FT39"/>
  <c r="FT47"/>
  <c r="FT51"/>
  <c r="FS35"/>
  <c r="FS27"/>
  <c r="FT50"/>
  <c r="FT34"/>
  <c r="FT26"/>
  <c r="FT18"/>
  <c r="FT10"/>
  <c r="FS16"/>
  <c r="FS8"/>
  <c r="FS50"/>
  <c r="FS42"/>
  <c r="FS34"/>
  <c r="FS26"/>
  <c r="FT42"/>
  <c r="FT48"/>
</calcChain>
</file>

<file path=xl/sharedStrings.xml><?xml version="1.0" encoding="utf-8"?>
<sst xmlns="http://schemas.openxmlformats.org/spreadsheetml/2006/main" count="2645" uniqueCount="301">
  <si>
    <t>Řepy</t>
  </si>
  <si>
    <t>Krupa Josef</t>
  </si>
  <si>
    <t>Šafařík Luděk</t>
  </si>
  <si>
    <t>Pospíšil Václav</t>
  </si>
  <si>
    <t>Klíčov</t>
  </si>
  <si>
    <t>Carvan Pavel</t>
  </si>
  <si>
    <t>Kačerov</t>
  </si>
  <si>
    <t>Vršovice</t>
  </si>
  <si>
    <t>Mottl Pavel</t>
  </si>
  <si>
    <t>Mašát Petr</t>
  </si>
  <si>
    <t>Tomášek Zdeněk</t>
  </si>
  <si>
    <t>Krupa Martin</t>
  </si>
  <si>
    <t>Sláma Karel</t>
  </si>
  <si>
    <t>Plecháček Miroslav</t>
  </si>
  <si>
    <t>Aunický František</t>
  </si>
  <si>
    <t>Čermák Tomáš</t>
  </si>
  <si>
    <t>Jelínek Jan</t>
  </si>
  <si>
    <t>Hostivař</t>
  </si>
  <si>
    <t>Brejcha Jaroslav</t>
  </si>
  <si>
    <t>Křikava Miroslav</t>
  </si>
  <si>
    <t xml:space="preserve"> </t>
  </si>
  <si>
    <t>Mysliveček  Jaroslav</t>
  </si>
  <si>
    <t xml:space="preserve">   garáže</t>
  </si>
  <si>
    <t>25                                      nejvyšších náhozů</t>
  </si>
  <si>
    <t>25                                      nejnižších náhozů</t>
  </si>
  <si>
    <t>25                                      nejvyšších průměrů</t>
  </si>
  <si>
    <t>Kazda Jan</t>
  </si>
  <si>
    <t>Kocúr Jaroslav</t>
  </si>
  <si>
    <t>Troller Pavel</t>
  </si>
  <si>
    <t>Táborský František</t>
  </si>
  <si>
    <t>Novotná Petra</t>
  </si>
  <si>
    <t>Táborský Lukáš</t>
  </si>
  <si>
    <t>Křápek Roman</t>
  </si>
  <si>
    <t>Jirkovská Iveta</t>
  </si>
  <si>
    <t>Kročil Tomáš</t>
  </si>
  <si>
    <t>Alba Vladimír</t>
  </si>
  <si>
    <t>Hübner Jiří</t>
  </si>
  <si>
    <t>Douša Adam</t>
  </si>
  <si>
    <t>nejvyšší nához jednotlivce</t>
  </si>
  <si>
    <t>nejnižší nához jednotlivce</t>
  </si>
  <si>
    <t>Dejvice</t>
  </si>
  <si>
    <t>Buzi Jiří</t>
  </si>
  <si>
    <t>Číhal František</t>
  </si>
  <si>
    <t>Jošt Michal</t>
  </si>
  <si>
    <t>Krupová Martina</t>
  </si>
  <si>
    <t>Pěchočová Soňa</t>
  </si>
  <si>
    <t>Sehnal Ivan</t>
  </si>
  <si>
    <t>garáž</t>
  </si>
  <si>
    <t>kuželky</t>
  </si>
  <si>
    <t>16.2.</t>
  </si>
  <si>
    <t>14.3.</t>
  </si>
  <si>
    <t>průměr</t>
  </si>
  <si>
    <t>průměr na 1 hru</t>
  </si>
  <si>
    <t>průměr na turnaj</t>
  </si>
  <si>
    <t>28.3.</t>
  </si>
  <si>
    <t>18.4.</t>
  </si>
  <si>
    <t>12.9.</t>
  </si>
  <si>
    <t>17.10.</t>
  </si>
  <si>
    <t>7.11.</t>
  </si>
  <si>
    <t>Lazur Ladislav</t>
  </si>
  <si>
    <t>Holkup Jan</t>
  </si>
  <si>
    <t>Tichý Hugo</t>
  </si>
  <si>
    <t>Joštová Alena</t>
  </si>
  <si>
    <t>Štěrba Ladislav</t>
  </si>
  <si>
    <t>25                                      nejvyšších náhozů            na turnaj</t>
  </si>
  <si>
    <t>Veselý Vlastimil</t>
  </si>
  <si>
    <t>Novotný Lukáš</t>
  </si>
  <si>
    <t>Kalfiřt Petr</t>
  </si>
  <si>
    <t>Pecka Jiří</t>
  </si>
  <si>
    <t>Svítil Pavel</t>
  </si>
  <si>
    <t>Brož Stanislav</t>
  </si>
  <si>
    <t>Novák Antonín</t>
  </si>
  <si>
    <t>Věchtík Antonín</t>
  </si>
  <si>
    <t>Lazurová Jiřina</t>
  </si>
  <si>
    <t>Bulka Miroslav</t>
  </si>
  <si>
    <t>Orlík Rostislav</t>
  </si>
  <si>
    <t>Fidler Slávek</t>
  </si>
  <si>
    <t>Růžička Václav</t>
  </si>
  <si>
    <t>Sladovník Miloš</t>
  </si>
  <si>
    <t>Novotná Jana</t>
  </si>
  <si>
    <t>Šafář Bohumil</t>
  </si>
  <si>
    <t>Radová Petra</t>
  </si>
  <si>
    <t>Ondřich František</t>
  </si>
  <si>
    <t>Garáž</t>
  </si>
  <si>
    <t>I.</t>
  </si>
  <si>
    <t>II.</t>
  </si>
  <si>
    <t>III.</t>
  </si>
  <si>
    <t>IV.</t>
  </si>
  <si>
    <t>V.</t>
  </si>
  <si>
    <t>Body</t>
  </si>
  <si>
    <t>Šindelář Karel</t>
  </si>
  <si>
    <t>Bergerová Marcela</t>
  </si>
  <si>
    <t>Lokvenc Jiří</t>
  </si>
  <si>
    <t>Kovář Jaroslav</t>
  </si>
  <si>
    <t>Hájek Mojmír</t>
  </si>
  <si>
    <t>Křemenák Petr</t>
  </si>
  <si>
    <t>Krupa Jozef</t>
  </si>
  <si>
    <t>Růžička Ladislav</t>
  </si>
  <si>
    <t>Kučera Miroslav</t>
  </si>
  <si>
    <t>Kutina Pavel</t>
  </si>
  <si>
    <t>Podhola Martin</t>
  </si>
  <si>
    <t>Kalošová Dagmar</t>
  </si>
  <si>
    <t>Šafářová Veronika</t>
  </si>
  <si>
    <t>Pokorný Josef</t>
  </si>
  <si>
    <t>Fay Vlastimil</t>
  </si>
  <si>
    <t>Bošek Jan</t>
  </si>
  <si>
    <t>Skružná Pavla</t>
  </si>
  <si>
    <t>Kozel Pavel</t>
  </si>
  <si>
    <t>umístnění v jednotlivých turnajích</t>
  </si>
  <si>
    <t>družstva</t>
  </si>
  <si>
    <t>jednotlivci</t>
  </si>
  <si>
    <t>1. místo</t>
  </si>
  <si>
    <t>2. místo</t>
  </si>
  <si>
    <t>3. místo</t>
  </si>
  <si>
    <t>Kačena Martin</t>
  </si>
  <si>
    <t>Piešťanský Josef</t>
  </si>
  <si>
    <t>Tůma Antonín</t>
  </si>
  <si>
    <t>Kolář Ladislav</t>
  </si>
  <si>
    <t>Kollár Pavel</t>
  </si>
  <si>
    <t>Greman Milan</t>
  </si>
  <si>
    <t>Vrzal Pavel</t>
  </si>
  <si>
    <t>ZPĚT</t>
  </si>
  <si>
    <t>klikni</t>
  </si>
  <si>
    <t>Šafář Vladimír</t>
  </si>
  <si>
    <t>Štěpán Radek</t>
  </si>
  <si>
    <t>Křikavová Miroslava</t>
  </si>
  <si>
    <t>Brejcha Jaroslav st.</t>
  </si>
  <si>
    <t>Pospíšil Lukáš</t>
  </si>
  <si>
    <t>Celkové umístění jednotlivců na turnajích v BOWLINGU  2013</t>
  </si>
  <si>
    <t>JEDNOTLIVÉ TURNAJE V ROCE 2013</t>
  </si>
  <si>
    <t>SPORTOVNÍ TURNAJ V BOWLINGU O POHÁR PV-OSZO DP-A PRAHA  - 19. LEDNA 2013</t>
  </si>
  <si>
    <t>Sportovní turnaj v Bowlingu o pohár ZV-OS Klíčov dne 9. 2. 2013</t>
  </si>
  <si>
    <t>Sportovní turnaj v Bowlingu o pohár ZV-OS Řepy dne 9. 3. 2013</t>
  </si>
  <si>
    <t>Sportovní turnaj v Bowlingu o pohár ZV-OS Hostivař dne 27. 4. 2013</t>
  </si>
  <si>
    <t>Sportovní turnaj v Bowlingu o pohár ___ dne _. _. 2013</t>
  </si>
  <si>
    <t>Jméno</t>
  </si>
  <si>
    <t>Jednotlivci.</t>
  </si>
  <si>
    <t>Družstva.</t>
  </si>
  <si>
    <t>ŘEPY I.</t>
  </si>
  <si>
    <t>KŘIKAVA MIROSLAV</t>
  </si>
  <si>
    <t>PV OSZO</t>
  </si>
  <si>
    <t>19.1.</t>
  </si>
  <si>
    <t>SEHNAL IVAN</t>
  </si>
  <si>
    <t>SLADOVNÍK MILOSLAV</t>
  </si>
  <si>
    <t>KLÍČOV</t>
  </si>
  <si>
    <t>9.2.</t>
  </si>
  <si>
    <t>TICHÝ HUGO</t>
  </si>
  <si>
    <t>PLECHÁČEK MIROSLAV</t>
  </si>
  <si>
    <t>ŘEPY</t>
  </si>
  <si>
    <t>9.3.</t>
  </si>
  <si>
    <t>ŘEPY II.</t>
  </si>
  <si>
    <t>KOCŮR JAROSLAV</t>
  </si>
  <si>
    <t>HOSTIVAŘ</t>
  </si>
  <si>
    <t>27.4.</t>
  </si>
  <si>
    <t>MOTTL PAVEL</t>
  </si>
  <si>
    <t>ALBA VLADIMÍR</t>
  </si>
  <si>
    <t>KAČEROV</t>
  </si>
  <si>
    <t>KROČIL TOMÁŠ</t>
  </si>
  <si>
    <t>POSPÍŠIL VÁCLAV</t>
  </si>
  <si>
    <t>VRŠOVICE</t>
  </si>
  <si>
    <t>KAČEROV I.</t>
  </si>
  <si>
    <t>HÜBNER JIŘÍ</t>
  </si>
  <si>
    <t>TOMÁŠEK ZDENĚK</t>
  </si>
  <si>
    <t>ONDŘICH FRANTIŠEK</t>
  </si>
  <si>
    <t>PRO PŘÍPAD            11 DRUŽSTEV</t>
  </si>
  <si>
    <t>MAŠÁT PETR</t>
  </si>
  <si>
    <t>CARVAN PAVEL</t>
  </si>
  <si>
    <t>KAČEROV II.</t>
  </si>
  <si>
    <t>DOUŠA ADAM</t>
  </si>
  <si>
    <t>KUTINA PAVEL</t>
  </si>
  <si>
    <t>BREJCHA JAROSLAV</t>
  </si>
  <si>
    <t>BROŽ STANISLAV</t>
  </si>
  <si>
    <t>RADOVÁ PETRA</t>
  </si>
  <si>
    <t>HOSTIVAŘ I.</t>
  </si>
  <si>
    <t>KŘÁPEK ROMAN</t>
  </si>
  <si>
    <t>JELÍNEK JAN</t>
  </si>
  <si>
    <t>RŮŽIČKA LADISLAV</t>
  </si>
  <si>
    <t>ŠAFAŘÍK LUDĚK</t>
  </si>
  <si>
    <t>LAZUR VLADIMÍR</t>
  </si>
  <si>
    <t>HOSTIVAŘ II.</t>
  </si>
  <si>
    <t>ČERMÁK TOMÁŠ</t>
  </si>
  <si>
    <t>KALOŠOVÁ DAGMAR</t>
  </si>
  <si>
    <t>MYSLIVEČEK JAROSLAV</t>
  </si>
  <si>
    <t>ŠAFÁŘ VLADIMÍR</t>
  </si>
  <si>
    <t>KOLLÁR PAVEL</t>
  </si>
  <si>
    <t>VRŠOVICE I.</t>
  </si>
  <si>
    <t>KRUPA JOZEF</t>
  </si>
  <si>
    <t>VĚCHTÍK ANTONÍN</t>
  </si>
  <si>
    <t>HOLKUP JAN</t>
  </si>
  <si>
    <t>SKRUŽNÁ PAVLA</t>
  </si>
  <si>
    <t>KOVÁŘ JAROSLAV</t>
  </si>
  <si>
    <t>VRŠOVICE II.</t>
  </si>
  <si>
    <t>AUNICKÝ FRANTIŠEK</t>
  </si>
  <si>
    <t>KAZDA JAN</t>
  </si>
  <si>
    <t>VESELÝ VLASTIMIL</t>
  </si>
  <si>
    <t>FAY VLASTIMIL</t>
  </si>
  <si>
    <t xml:space="preserve">POSPÍŠIL LUKÁŠ </t>
  </si>
  <si>
    <t>KLÍČOV I.</t>
  </si>
  <si>
    <t>PECKA JIŘÍ</t>
  </si>
  <si>
    <t>NOVOTNÝ LUKÁŠ</t>
  </si>
  <si>
    <t>KALFIŘT PETR</t>
  </si>
  <si>
    <t>KŘEMENÁK PETR</t>
  </si>
  <si>
    <t>TROLLER PAVEL</t>
  </si>
  <si>
    <t>KLÍČOV II.</t>
  </si>
  <si>
    <t>TÁBORSKÝ FRANTIŠEK</t>
  </si>
  <si>
    <t>TÁBORSKÝ LUKÁŠ</t>
  </si>
  <si>
    <t>NOVOTNÁ PETRA</t>
  </si>
  <si>
    <t>ŘEHÁK JAROSLAV</t>
  </si>
  <si>
    <t>KRUPKA JAKUB</t>
  </si>
  <si>
    <t>KLÍČOV III.</t>
  </si>
  <si>
    <t>PV-OSZO DP-A    19.1.2013</t>
  </si>
  <si>
    <t>KLÍČOV    9.2.2013</t>
  </si>
  <si>
    <t>ŘEPY    9.3.2013</t>
  </si>
  <si>
    <t>HOSTIVAŘ     27.4.2013</t>
  </si>
  <si>
    <t>9.3.2013   ŘEPY</t>
  </si>
  <si>
    <t>9.2.2013   KLÍČOV</t>
  </si>
  <si>
    <t>27.4.2013   HOSTIVAŘ</t>
  </si>
  <si>
    <t>Řehák Jaroslav</t>
  </si>
  <si>
    <t>Krupka Jakub</t>
  </si>
  <si>
    <t>Řehák František</t>
  </si>
  <si>
    <t>Berger Michal</t>
  </si>
  <si>
    <t>Žalud Miroslav</t>
  </si>
  <si>
    <t>Lazur Vladimír</t>
  </si>
  <si>
    <t>Kocůr Jaroslav</t>
  </si>
  <si>
    <t>Šafář Ladislav</t>
  </si>
  <si>
    <t>Sladovník Miloslav</t>
  </si>
  <si>
    <t>Mysliveček Jaroslav</t>
  </si>
  <si>
    <t>KOLÁŘ LADISLAV</t>
  </si>
  <si>
    <t>LOKVENC JIŘÍ</t>
  </si>
  <si>
    <t>ŠAFÁŘ BOHUMIL</t>
  </si>
  <si>
    <t>ŽALUD MIROSLAV</t>
  </si>
  <si>
    <t>ŠAFÁŘ LADISLAV</t>
  </si>
  <si>
    <t>BERGER MICHAL</t>
  </si>
  <si>
    <t>BERGEROVÁ MARCELA</t>
  </si>
  <si>
    <t>LAZUROVÁ JIŘINA</t>
  </si>
  <si>
    <t>KRUPA JOSEF</t>
  </si>
  <si>
    <t>POSPÍŠIL LUKÁŠ</t>
  </si>
  <si>
    <t>PODHOLA MARTIN</t>
  </si>
  <si>
    <t>BOŠEK JAN</t>
  </si>
  <si>
    <t>KRUPOVÁ MARTINA</t>
  </si>
  <si>
    <t>pořadí jednotlivců</t>
  </si>
  <si>
    <t>VRŠOVICEII.</t>
  </si>
  <si>
    <t>Stejskal Martin</t>
  </si>
  <si>
    <t>Vychnerová Michala</t>
  </si>
  <si>
    <t>Froněk Martin</t>
  </si>
  <si>
    <t>KUČERA MIROSLAV</t>
  </si>
  <si>
    <t>HÁJEK MOJMÍR</t>
  </si>
  <si>
    <t>NOVOTNÁ JANA</t>
  </si>
  <si>
    <t>VYCHNEROVÁ MICHALA</t>
  </si>
  <si>
    <t>FRONĚK MARTIN</t>
  </si>
  <si>
    <t>STEJSKAL MARTIN</t>
  </si>
  <si>
    <t>SVÍTIL PAVEL</t>
  </si>
  <si>
    <t>Ondřich Fr.</t>
  </si>
  <si>
    <t>Štarková Tereza</t>
  </si>
  <si>
    <t>Pipek Pavel</t>
  </si>
  <si>
    <t>GERMAN MILAN</t>
  </si>
  <si>
    <t>ŠTĚPÁN RADEK</t>
  </si>
  <si>
    <t>ŠTARKOVÁ TEREZA</t>
  </si>
  <si>
    <t>VYCHNEROVÁ MICHAELA</t>
  </si>
  <si>
    <t>PIPEK PAVEL</t>
  </si>
  <si>
    <t>ČÍHAL FRANTIŠEK</t>
  </si>
  <si>
    <t>RŮŽIČKA VÁCLAV</t>
  </si>
  <si>
    <t>German Milan</t>
  </si>
  <si>
    <t>Vychnerová Michaela</t>
  </si>
  <si>
    <t xml:space="preserve"> Počet turnajů</t>
  </si>
  <si>
    <t xml:space="preserve"> Počet celkových bodů</t>
  </si>
  <si>
    <t xml:space="preserve"> Průměer na hru</t>
  </si>
  <si>
    <t xml:space="preserve"> Průměr na turnaj</t>
  </si>
  <si>
    <t xml:space="preserve"> jméno</t>
  </si>
  <si>
    <t>12.10.</t>
  </si>
  <si>
    <t>9.11.</t>
  </si>
  <si>
    <t>Sportovní turnaj v Bowlingu o pohár ZV-OS Kačerov dne 12.10. 2013</t>
  </si>
  <si>
    <t>Sportovní turnaj v Bowlingu o pohár ZV-OS Vršovice dne 9.11. 2013</t>
  </si>
  <si>
    <t>12.10.2013   KAČEROV</t>
  </si>
  <si>
    <t>KAČEROV     12.10.2013</t>
  </si>
  <si>
    <t>VRŠOVICE     9.11.2013</t>
  </si>
  <si>
    <t>9.11.2013   VRŠOVICE</t>
  </si>
  <si>
    <r>
      <t xml:space="preserve">        ZE VŠECH TURNAJŮ   2013                                                           </t>
    </r>
    <r>
      <rPr>
        <b/>
        <sz val="18"/>
        <rFont val="Arial"/>
        <family val="2"/>
      </rPr>
      <t xml:space="preserve"> </t>
    </r>
    <r>
      <rPr>
        <b/>
        <sz val="14"/>
        <rFont val="Arial"/>
        <family val="2"/>
      </rPr>
      <t xml:space="preserve">jednotlivé turnaje        </t>
    </r>
    <r>
      <rPr>
        <b/>
        <sz val="10.5"/>
        <rFont val="Arial"/>
        <family val="2"/>
      </rPr>
      <t xml:space="preserve">  </t>
    </r>
  </si>
  <si>
    <t>turnaje</t>
  </si>
  <si>
    <t xml:space="preserve"> turnaje</t>
  </si>
  <si>
    <t>statistika celkem</t>
  </si>
  <si>
    <t>garáže</t>
  </si>
  <si>
    <t>zpět</t>
  </si>
  <si>
    <t>Dvořák Petr</t>
  </si>
  <si>
    <t>Kolár Pavel</t>
  </si>
  <si>
    <t>Pavlíček Rudolf</t>
  </si>
  <si>
    <t>Šafrová Martina</t>
  </si>
  <si>
    <t>Neshyba Jaroslav</t>
  </si>
  <si>
    <t>Tomášek Zdenek</t>
  </si>
  <si>
    <t>Katolický Zdenek</t>
  </si>
  <si>
    <t>Turek Stanislav</t>
  </si>
  <si>
    <t>Katolický Zdeněk</t>
  </si>
  <si>
    <t>Hyková Lucie</t>
  </si>
  <si>
    <t>Kolár Vladimír</t>
  </si>
  <si>
    <t>8.12.</t>
  </si>
  <si>
    <t>POHÁR GŘ</t>
  </si>
  <si>
    <t>Pelikán Stanislav</t>
  </si>
  <si>
    <t>Sehnal Ivan ing.</t>
  </si>
  <si>
    <t>Věchtík Antoním</t>
  </si>
  <si>
    <t>POHÁR GENERÁLNÍHO ŘEDITELE</t>
  </si>
  <si>
    <t>8.12.2013   POHÁR GENERÁLNÍHO ŘEDITELE - DP</t>
  </si>
</sst>
</file>

<file path=xl/styles.xml><?xml version="1.0" encoding="utf-8"?>
<styleSheet xmlns="http://schemas.openxmlformats.org/spreadsheetml/2006/main">
  <numFmts count="2">
    <numFmt numFmtId="164" formatCode="0.00;[Red]0.00"/>
    <numFmt numFmtId="177" formatCode="0;[Red]0"/>
  </numFmts>
  <fonts count="190">
    <font>
      <sz val="10"/>
      <name val="Arial"/>
    </font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b/>
      <sz val="14"/>
      <name val="Arial"/>
      <family val="2"/>
    </font>
    <font>
      <u/>
      <sz val="10"/>
      <color indexed="12"/>
      <name val="Arial"/>
      <family val="2"/>
    </font>
    <font>
      <b/>
      <sz val="16"/>
      <name val="Arial"/>
      <family val="2"/>
    </font>
    <font>
      <b/>
      <sz val="14"/>
      <color indexed="10"/>
      <name val="Arial"/>
      <family val="2"/>
    </font>
    <font>
      <b/>
      <sz val="22"/>
      <color indexed="23"/>
      <name val="Arial"/>
      <family val="2"/>
    </font>
    <font>
      <b/>
      <sz val="14"/>
      <color indexed="47"/>
      <name val="Arial"/>
      <family val="2"/>
    </font>
    <font>
      <b/>
      <sz val="18"/>
      <color indexed="48"/>
      <name val="Arial"/>
      <family val="2"/>
    </font>
    <font>
      <sz val="10"/>
      <name val="Arial"/>
    </font>
    <font>
      <sz val="10"/>
      <name val="Arial CE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sz val="12"/>
      <color indexed="14"/>
      <name val="Arial"/>
      <family val="2"/>
    </font>
    <font>
      <b/>
      <sz val="11"/>
      <color indexed="10"/>
      <name val="Times New Roman"/>
      <family val="1"/>
    </font>
    <font>
      <b/>
      <sz val="11"/>
      <color indexed="17"/>
      <name val="Times New Roman"/>
      <family val="1"/>
    </font>
    <font>
      <b/>
      <sz val="11"/>
      <color indexed="30"/>
      <name val="Times New Roman"/>
      <family val="1"/>
    </font>
    <font>
      <b/>
      <sz val="11"/>
      <color indexed="36"/>
      <name val="Times New Roman"/>
      <family val="1"/>
    </font>
    <font>
      <b/>
      <sz val="11"/>
      <color indexed="60"/>
      <name val="Times New Roman"/>
      <family val="1"/>
    </font>
    <font>
      <b/>
      <sz val="11"/>
      <color indexed="10"/>
      <name val="Arial"/>
      <family val="2"/>
    </font>
    <font>
      <b/>
      <sz val="11"/>
      <color indexed="30"/>
      <name val="Arial"/>
      <family val="2"/>
    </font>
    <font>
      <b/>
      <sz val="11"/>
      <color indexed="60"/>
      <name val="Arial"/>
      <family val="2"/>
    </font>
    <font>
      <b/>
      <sz val="11"/>
      <color indexed="17"/>
      <name val="Arial"/>
      <family val="2"/>
    </font>
    <font>
      <sz val="10"/>
      <color indexed="10"/>
      <name val="Arial"/>
      <family val="2"/>
    </font>
    <font>
      <sz val="10"/>
      <color indexed="3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sz val="8"/>
      <name val="Arial"/>
      <family val="2"/>
    </font>
    <font>
      <b/>
      <sz val="11"/>
      <color indexed="60"/>
      <name val="Arial"/>
      <family val="2"/>
    </font>
    <font>
      <b/>
      <sz val="11"/>
      <color indexed="60"/>
      <name val="Times New Roman"/>
      <family val="1"/>
    </font>
    <font>
      <b/>
      <sz val="10"/>
      <color indexed="10"/>
      <name val="Arial"/>
      <family val="2"/>
    </font>
    <font>
      <b/>
      <sz val="11"/>
      <color indexed="17"/>
      <name val="Times New Roman"/>
      <family val="1"/>
    </font>
    <font>
      <b/>
      <sz val="11"/>
      <color indexed="60"/>
      <name val="Times New Roman"/>
      <family val="1"/>
    </font>
    <font>
      <b/>
      <sz val="11"/>
      <color indexed="36"/>
      <name val="Times New Roman"/>
      <family val="1"/>
    </font>
    <font>
      <b/>
      <sz val="11"/>
      <color indexed="10"/>
      <name val="Times New Roman"/>
      <family val="1"/>
    </font>
    <font>
      <sz val="10"/>
      <name val="Arial"/>
    </font>
    <font>
      <b/>
      <sz val="11"/>
      <color indexed="17"/>
      <name val="Arial"/>
      <family val="2"/>
    </font>
    <font>
      <b/>
      <sz val="8"/>
      <name val="Arial"/>
      <family val="2"/>
    </font>
    <font>
      <b/>
      <sz val="11"/>
      <color indexed="48"/>
      <name val="Arial"/>
      <family val="2"/>
    </font>
    <font>
      <sz val="10"/>
      <color indexed="48"/>
      <name val="Arial"/>
      <family val="2"/>
    </font>
    <font>
      <b/>
      <sz val="11"/>
      <color indexed="20"/>
      <name val="Arial"/>
      <family val="2"/>
    </font>
    <font>
      <sz val="10"/>
      <color indexed="20"/>
      <name val="Arial"/>
      <family val="2"/>
    </font>
    <font>
      <b/>
      <sz val="12"/>
      <color indexed="10"/>
      <name val="Arial"/>
      <family val="2"/>
    </font>
    <font>
      <b/>
      <sz val="11"/>
      <color indexed="60"/>
      <name val="Arial"/>
      <family val="2"/>
    </font>
    <font>
      <b/>
      <sz val="11"/>
      <color indexed="17"/>
      <name val="Arial"/>
      <family val="2"/>
    </font>
    <font>
      <b/>
      <sz val="11"/>
      <color indexed="20"/>
      <name val="Arial"/>
      <family val="2"/>
    </font>
    <font>
      <b/>
      <sz val="11"/>
      <color indexed="60"/>
      <name val="Times New Roman"/>
      <family val="1"/>
    </font>
    <font>
      <b/>
      <sz val="11"/>
      <color indexed="17"/>
      <name val="Times New Roman"/>
      <family val="1"/>
    </font>
    <font>
      <b/>
      <sz val="11"/>
      <color indexed="20"/>
      <name val="Times New Roman"/>
      <family val="1"/>
    </font>
    <font>
      <b/>
      <sz val="9"/>
      <color indexed="60"/>
      <name val="Arial"/>
      <family val="2"/>
    </font>
    <font>
      <b/>
      <sz val="9"/>
      <color indexed="17"/>
      <name val="Arial"/>
      <family val="2"/>
    </font>
    <font>
      <b/>
      <sz val="9"/>
      <color indexed="20"/>
      <name val="Arial"/>
      <family val="2"/>
    </font>
    <font>
      <b/>
      <sz val="11"/>
      <color indexed="48"/>
      <name val="Arial"/>
      <family val="2"/>
    </font>
    <font>
      <b/>
      <sz val="12"/>
      <color indexed="60"/>
      <name val="Arial"/>
      <family val="2"/>
    </font>
    <font>
      <b/>
      <sz val="12"/>
      <color indexed="17"/>
      <name val="Arial"/>
      <family val="2"/>
    </font>
    <font>
      <b/>
      <sz val="9"/>
      <color indexed="48"/>
      <name val="Arial"/>
      <family val="2"/>
    </font>
    <font>
      <b/>
      <sz val="12"/>
      <color indexed="48"/>
      <name val="Arial"/>
      <family val="2"/>
    </font>
    <font>
      <b/>
      <sz val="12"/>
      <color indexed="20"/>
      <name val="Arial"/>
      <family val="2"/>
    </font>
    <font>
      <b/>
      <sz val="11"/>
      <color indexed="48"/>
      <name val="Times New Roman"/>
      <family val="1"/>
    </font>
    <font>
      <b/>
      <sz val="9"/>
      <color indexed="36"/>
      <name val="Arial"/>
      <family val="2"/>
    </font>
    <font>
      <b/>
      <sz val="18"/>
      <name val="Arial"/>
      <family val="2"/>
    </font>
    <font>
      <b/>
      <sz val="12"/>
      <color indexed="30"/>
      <name val="Arial"/>
      <family val="2"/>
    </font>
    <font>
      <sz val="10"/>
      <name val="Arial"/>
    </font>
    <font>
      <sz val="11"/>
      <color indexed="64"/>
      <name val="Calibri"/>
      <family val="2"/>
    </font>
    <font>
      <b/>
      <sz val="10.5"/>
      <name val="Arial"/>
      <family val="2"/>
    </font>
    <font>
      <b/>
      <sz val="18"/>
      <color indexed="57"/>
      <name val="Arial"/>
      <family val="2"/>
    </font>
    <font>
      <b/>
      <sz val="12"/>
      <color indexed="57"/>
      <name val="Arial"/>
      <family val="2"/>
    </font>
    <font>
      <b/>
      <sz val="10"/>
      <color indexed="17"/>
      <name val="Arial"/>
      <family val="2"/>
    </font>
    <font>
      <sz val="8"/>
      <color indexed="8"/>
      <name val="Franklin Gothic Book"/>
      <family val="2"/>
    </font>
    <font>
      <i/>
      <sz val="8"/>
      <color indexed="8"/>
      <name val="Franklin Gothic Book"/>
      <family val="2"/>
    </font>
    <font>
      <sz val="8"/>
      <color indexed="8"/>
      <name val="Arial"/>
      <family val="2"/>
    </font>
    <font>
      <sz val="11"/>
      <color indexed="64"/>
      <name val="Calibri"/>
      <family val="2"/>
    </font>
    <font>
      <i/>
      <sz val="8"/>
      <color indexed="8"/>
      <name val="Arial"/>
      <family val="2"/>
    </font>
    <font>
      <i/>
      <sz val="8"/>
      <color indexed="30"/>
      <name val="Franklin Gothic Book"/>
      <family val="2"/>
    </font>
    <font>
      <b/>
      <u/>
      <sz val="10"/>
      <color indexed="64"/>
      <name val="Arial"/>
      <family val="2"/>
    </font>
    <font>
      <b/>
      <u/>
      <sz val="11"/>
      <color indexed="64"/>
      <name val="Calibri"/>
      <family val="2"/>
    </font>
    <font>
      <b/>
      <sz val="11"/>
      <color indexed="48"/>
      <name val="Times New Roman"/>
      <family val="1"/>
    </font>
    <font>
      <b/>
      <sz val="11"/>
      <color indexed="60"/>
      <name val="Times New Roman"/>
      <family val="1"/>
    </font>
    <font>
      <b/>
      <sz val="11"/>
      <color indexed="17"/>
      <name val="Times New Roman"/>
      <family val="1"/>
    </font>
    <font>
      <b/>
      <sz val="11"/>
      <color indexed="20"/>
      <name val="Times New Roman"/>
      <family val="1"/>
    </font>
    <font>
      <b/>
      <sz val="12"/>
      <color indexed="48"/>
      <name val="Arial"/>
      <family val="2"/>
    </font>
    <font>
      <b/>
      <sz val="12"/>
      <color indexed="20"/>
      <name val="Arial"/>
      <family val="2"/>
    </font>
    <font>
      <b/>
      <sz val="12"/>
      <color indexed="60"/>
      <name val="Arial"/>
      <family val="2"/>
    </font>
    <font>
      <b/>
      <sz val="12"/>
      <color indexed="17"/>
      <name val="Arial"/>
      <family val="2"/>
    </font>
    <font>
      <b/>
      <sz val="12"/>
      <color indexed="8"/>
      <name val="Arial"/>
      <family val="2"/>
    </font>
    <font>
      <sz val="8"/>
      <color indexed="9"/>
      <name val="Arial"/>
      <family val="2"/>
    </font>
    <font>
      <i/>
      <sz val="8"/>
      <color indexed="8"/>
      <name val="Franklin Gothic Book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Franklin Gothic Book"/>
      <family val="2"/>
    </font>
    <font>
      <b/>
      <sz val="10"/>
      <color indexed="48"/>
      <name val="Arial"/>
      <family val="2"/>
    </font>
    <font>
      <i/>
      <sz val="8"/>
      <color indexed="36"/>
      <name val="Franklin Gothic Book"/>
      <family val="2"/>
    </font>
    <font>
      <i/>
      <sz val="8"/>
      <color indexed="60"/>
      <name val="Franklin Gothic Book"/>
      <family val="2"/>
    </font>
    <font>
      <i/>
      <sz val="8"/>
      <color indexed="17"/>
      <name val="Franklin Gothic Book"/>
      <family val="2"/>
    </font>
    <font>
      <b/>
      <sz val="12"/>
      <color indexed="36"/>
      <name val="Arial"/>
      <family val="2"/>
    </font>
    <font>
      <b/>
      <sz val="12"/>
      <color indexed="17"/>
      <name val="Arial"/>
      <family val="2"/>
    </font>
    <font>
      <b/>
      <sz val="12"/>
      <color indexed="60"/>
      <name val="Arial"/>
      <family val="2"/>
    </font>
    <font>
      <b/>
      <sz val="14"/>
      <color indexed="10"/>
      <name val="Arial"/>
      <family val="2"/>
    </font>
    <font>
      <b/>
      <sz val="16"/>
      <color indexed="10"/>
      <name val="Arial"/>
      <family val="2"/>
    </font>
    <font>
      <b/>
      <sz val="16"/>
      <color indexed="9"/>
      <name val="Arial"/>
      <family val="2"/>
    </font>
    <font>
      <b/>
      <sz val="28"/>
      <color indexed="23"/>
      <name val="Arial"/>
      <family val="2"/>
    </font>
    <font>
      <b/>
      <sz val="10"/>
      <color indexed="19"/>
      <name val="Arial"/>
      <family val="2"/>
    </font>
    <font>
      <sz val="10"/>
      <color indexed="19"/>
      <name val="Calibri"/>
      <family val="2"/>
    </font>
    <font>
      <b/>
      <sz val="36"/>
      <color indexed="23"/>
      <name val="Arial"/>
      <family val="2"/>
    </font>
    <font>
      <sz val="14"/>
      <color indexed="10"/>
      <name val="Arial"/>
      <family val="2"/>
    </font>
    <font>
      <b/>
      <sz val="12"/>
      <color indexed="13"/>
      <name val="Arial"/>
      <family val="2"/>
    </font>
    <font>
      <b/>
      <sz val="10"/>
      <color indexed="13"/>
      <name val="Arial"/>
      <family val="2"/>
    </font>
    <font>
      <b/>
      <sz val="9"/>
      <color indexed="20"/>
      <name val="Arial"/>
      <family val="2"/>
    </font>
    <font>
      <b/>
      <sz val="9"/>
      <color indexed="48"/>
      <name val="Arial"/>
      <family val="2"/>
    </font>
    <font>
      <b/>
      <sz val="9"/>
      <color indexed="60"/>
      <name val="Arial"/>
      <family val="2"/>
    </font>
    <font>
      <b/>
      <sz val="11"/>
      <color indexed="20"/>
      <name val="Arial"/>
      <family val="2"/>
    </font>
    <font>
      <sz val="11"/>
      <color indexed="56"/>
      <name val="Arial"/>
      <family val="2"/>
    </font>
    <font>
      <sz val="10"/>
      <color indexed="56"/>
      <name val="Arial"/>
      <family val="2"/>
    </font>
    <font>
      <sz val="9"/>
      <color indexed="56"/>
      <name val="Arial"/>
      <family val="2"/>
    </font>
    <font>
      <b/>
      <sz val="11"/>
      <color indexed="53"/>
      <name val="Arial"/>
      <family val="2"/>
    </font>
    <font>
      <sz val="12"/>
      <name val="Calibri"/>
      <charset val="238"/>
    </font>
    <font>
      <b/>
      <sz val="18"/>
      <color indexed="12"/>
      <name val="Arial"/>
      <family val="2"/>
    </font>
    <font>
      <b/>
      <sz val="14"/>
      <color indexed="12"/>
      <name val="Arial"/>
      <family val="2"/>
    </font>
    <font>
      <b/>
      <sz val="10"/>
      <color indexed="36"/>
      <name val="Arial"/>
      <family val="2"/>
    </font>
    <font>
      <b/>
      <sz val="10"/>
      <color indexed="60"/>
      <name val="Arial"/>
      <family val="2"/>
    </font>
    <font>
      <b/>
      <sz val="11"/>
      <color indexed="48"/>
      <name val="Times New Roman"/>
      <family val="1"/>
    </font>
    <font>
      <b/>
      <sz val="10"/>
      <color indexed="48"/>
      <name val="Arial"/>
      <family val="2"/>
    </font>
    <font>
      <b/>
      <sz val="12"/>
      <color indexed="9"/>
      <name val="Arial"/>
      <family val="2"/>
    </font>
    <font>
      <b/>
      <sz val="18"/>
      <color indexed="10"/>
      <name val="Arial"/>
      <family val="2"/>
    </font>
    <font>
      <b/>
      <sz val="18"/>
      <color indexed="9"/>
      <name val="Arial"/>
      <family val="2"/>
    </font>
    <font>
      <b/>
      <sz val="12"/>
      <color indexed="48"/>
      <name val="Arial"/>
      <family val="2"/>
    </font>
    <font>
      <b/>
      <sz val="12"/>
      <color indexed="36"/>
      <name val="Arial"/>
      <family val="2"/>
    </font>
    <font>
      <b/>
      <sz val="12"/>
      <color indexed="60"/>
      <name val="Arial"/>
      <family val="2"/>
    </font>
    <font>
      <b/>
      <sz val="12"/>
      <color indexed="17"/>
      <name val="Arial"/>
      <family val="2"/>
    </font>
    <font>
      <b/>
      <sz val="12"/>
      <color indexed="20"/>
      <name val="Arial"/>
      <family val="2"/>
    </font>
    <font>
      <b/>
      <sz val="12"/>
      <color indexed="8"/>
      <name val="Arial"/>
      <family val="2"/>
    </font>
    <font>
      <sz val="10"/>
      <name val="Arial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8"/>
      <color theme="0"/>
      <name val="Arial"/>
      <family val="2"/>
    </font>
    <font>
      <b/>
      <sz val="14"/>
      <color theme="0"/>
      <name val="Arial"/>
      <family val="2"/>
    </font>
    <font>
      <b/>
      <sz val="10"/>
      <color rgb="FFFF0000"/>
      <name val="Arial"/>
      <family val="2"/>
    </font>
    <font>
      <b/>
      <sz val="10"/>
      <color rgb="FF008000"/>
      <name val="Arial"/>
      <family val="2"/>
    </font>
    <font>
      <sz val="10"/>
      <color rgb="FF008000"/>
      <name val="Arial"/>
      <family val="2"/>
    </font>
    <font>
      <b/>
      <sz val="10"/>
      <color rgb="FF3366FF"/>
      <name val="Arial"/>
      <family val="2"/>
    </font>
    <font>
      <b/>
      <sz val="10"/>
      <color rgb="FF800080"/>
      <name val="Arial"/>
      <family val="2"/>
    </font>
    <font>
      <b/>
      <sz val="10"/>
      <color rgb="FF993300"/>
      <name val="Arial"/>
      <family val="2"/>
    </font>
    <font>
      <sz val="10"/>
      <color rgb="FF3366FF"/>
      <name val="Arial"/>
      <family val="2"/>
    </font>
    <font>
      <sz val="10"/>
      <color rgb="FF800080"/>
      <name val="Arial"/>
      <family val="2"/>
    </font>
    <font>
      <sz val="10"/>
      <color rgb="FF993300"/>
      <name val="Arial"/>
      <family val="2"/>
    </font>
    <font>
      <b/>
      <sz val="12"/>
      <color rgb="FF008000"/>
      <name val="Arial"/>
      <family val="2"/>
    </font>
    <font>
      <b/>
      <sz val="12"/>
      <color rgb="FF3366FF"/>
      <name val="Arial"/>
      <family val="2"/>
    </font>
    <font>
      <b/>
      <sz val="12"/>
      <color rgb="FF800080"/>
      <name val="Arial"/>
      <family val="2"/>
    </font>
    <font>
      <b/>
      <sz val="12"/>
      <color rgb="FF993300"/>
      <name val="Arial"/>
      <family val="2"/>
    </font>
    <font>
      <b/>
      <sz val="12"/>
      <color rgb="FF000000"/>
      <name val="Arial"/>
      <family val="2"/>
    </font>
    <font>
      <b/>
      <sz val="10"/>
      <color theme="9" tint="-0.499984740745262"/>
      <name val="Arial"/>
      <family val="2"/>
    </font>
    <font>
      <b/>
      <sz val="10"/>
      <color rgb="FF0070C0"/>
      <name val="Arial"/>
      <family val="2"/>
    </font>
    <font>
      <b/>
      <sz val="10"/>
      <color theme="1"/>
      <name val="Arial"/>
      <family val="2"/>
    </font>
    <font>
      <b/>
      <sz val="10"/>
      <color rgb="FF7030A0"/>
      <name val="Arial"/>
      <family val="2"/>
    </font>
    <font>
      <b/>
      <sz val="28"/>
      <color theme="9" tint="-0.499984740745262"/>
      <name val="Arial"/>
      <family val="2"/>
    </font>
    <font>
      <b/>
      <sz val="28"/>
      <color rgb="FF00B050"/>
      <name val="Arial"/>
      <family val="2"/>
    </font>
    <font>
      <b/>
      <sz val="28"/>
      <color rgb="FF008000"/>
      <name val="Arial"/>
      <family val="2"/>
    </font>
    <font>
      <b/>
      <sz val="10"/>
      <color rgb="FF974807"/>
      <name val="Arial"/>
      <family val="2"/>
    </font>
    <font>
      <b/>
      <sz val="12"/>
      <color rgb="FF974807"/>
      <name val="Arial"/>
      <family val="2"/>
    </font>
    <font>
      <sz val="10"/>
      <color theme="1"/>
      <name val="Arial"/>
      <family val="2"/>
    </font>
    <font>
      <sz val="10"/>
      <color rgb="FF0000CC"/>
      <name val="Arial"/>
      <family val="2"/>
    </font>
    <font>
      <b/>
      <sz val="12"/>
      <color theme="1"/>
      <name val="Arial"/>
      <family val="2"/>
    </font>
    <font>
      <b/>
      <sz val="28"/>
      <color theme="1"/>
      <name val="Arial"/>
      <family val="2"/>
    </font>
    <font>
      <b/>
      <sz val="28"/>
      <color rgb="FF7030A0"/>
      <name val="Arial"/>
      <family val="2"/>
    </font>
    <font>
      <b/>
      <sz val="36"/>
      <color theme="9" tint="-0.499984740745262"/>
      <name val="Arial"/>
      <family val="2"/>
    </font>
    <font>
      <b/>
      <sz val="36"/>
      <color rgb="FF008000"/>
      <name val="Arial"/>
      <family val="2"/>
    </font>
    <font>
      <b/>
      <sz val="36"/>
      <color rgb="FF0070C0"/>
      <name val="Arial"/>
      <family val="2"/>
    </font>
    <font>
      <b/>
      <sz val="14"/>
      <color rgb="FFFFC000"/>
      <name val="Arial"/>
      <family val="2"/>
    </font>
    <font>
      <b/>
      <sz val="36"/>
      <color rgb="FF7030A0"/>
      <name val="Arial"/>
      <family val="2"/>
    </font>
    <font>
      <b/>
      <sz val="36"/>
      <color theme="1"/>
      <name val="Arial"/>
      <family val="2"/>
    </font>
    <font>
      <b/>
      <sz val="28"/>
      <color rgb="FF0070C0"/>
      <name val="Arial"/>
      <family val="2"/>
    </font>
    <font>
      <b/>
      <sz val="11"/>
      <color rgb="FF0000CC"/>
      <name val="Arial"/>
      <family val="2"/>
    </font>
    <font>
      <b/>
      <sz val="14"/>
      <color rgb="FF7030A0"/>
      <name val="Arial"/>
      <family val="2"/>
    </font>
    <font>
      <b/>
      <sz val="14"/>
      <color theme="1"/>
      <name val="Arial"/>
      <family val="2"/>
    </font>
    <font>
      <b/>
      <sz val="14"/>
      <color rgb="FF0000CC"/>
      <name val="Arial"/>
      <family val="2"/>
    </font>
    <font>
      <b/>
      <sz val="14"/>
      <color rgb="FFC00000"/>
      <name val="Arial"/>
      <family val="2"/>
    </font>
    <font>
      <b/>
      <sz val="14"/>
      <color theme="9" tint="-0.499984740745262"/>
      <name val="Arial"/>
      <family val="2"/>
    </font>
    <font>
      <b/>
      <sz val="14"/>
      <color rgb="FF00B050"/>
      <name val="Arial"/>
      <family val="2"/>
    </font>
  </fonts>
  <fills count="39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gray0625">
        <b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0"/>
        <bgColor indexed="64"/>
      </patternFill>
    </fill>
    <fill>
      <patternFill patternType="gray125">
        <bgColor indexed="26"/>
      </patternFill>
    </fill>
    <fill>
      <patternFill patternType="solid">
        <fgColor theme="1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gray125">
        <bgColor rgb="FFFFFFCC"/>
      </patternFill>
    </fill>
    <fill>
      <patternFill patternType="solid">
        <fgColor rgb="FFFF0000"/>
        <bgColor indexed="64"/>
      </patternFill>
    </fill>
  </fills>
  <borders count="125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10"/>
      </bottom>
      <diagonal/>
    </border>
    <border>
      <left style="thin">
        <color indexed="64"/>
      </left>
      <right style="thin">
        <color indexed="64"/>
      </right>
      <top/>
      <bottom style="thin">
        <color indexed="1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10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/>
      <bottom/>
      <diagonal/>
    </border>
    <border>
      <left style="medium">
        <color indexed="64"/>
      </left>
      <right style="dash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10"/>
      </left>
      <right style="thin">
        <color indexed="64"/>
      </right>
      <top style="medium">
        <color indexed="10"/>
      </top>
      <bottom style="thin">
        <color indexed="64"/>
      </bottom>
      <diagonal/>
    </border>
    <border>
      <left style="thin">
        <color indexed="64"/>
      </left>
      <right/>
      <top style="medium">
        <color indexed="10"/>
      </top>
      <bottom/>
      <diagonal/>
    </border>
    <border>
      <left style="thin">
        <color indexed="64"/>
      </left>
      <right style="thin">
        <color indexed="64"/>
      </right>
      <top style="medium">
        <color indexed="10"/>
      </top>
      <bottom style="thin">
        <color indexed="64"/>
      </bottom>
      <diagonal/>
    </border>
    <border>
      <left style="thin">
        <color indexed="64"/>
      </left>
      <right style="medium">
        <color indexed="10"/>
      </right>
      <top style="medium">
        <color indexed="10"/>
      </top>
      <bottom style="thin">
        <color indexed="64"/>
      </bottom>
      <diagonal/>
    </border>
    <border>
      <left style="medium">
        <color indexed="1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10"/>
      </left>
      <right style="thin">
        <color indexed="64"/>
      </right>
      <top style="thin">
        <color indexed="64"/>
      </top>
      <bottom style="medium">
        <color indexed="10"/>
      </bottom>
      <diagonal/>
    </border>
    <border>
      <left style="thin">
        <color indexed="64"/>
      </left>
      <right/>
      <top style="thin">
        <color indexed="64"/>
      </top>
      <bottom style="medium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10"/>
      </bottom>
      <diagonal/>
    </border>
    <border>
      <left style="thin">
        <color indexed="64"/>
      </left>
      <right style="medium">
        <color indexed="10"/>
      </right>
      <top style="thin">
        <color indexed="64"/>
      </top>
      <bottom style="medium">
        <color indexed="10"/>
      </bottom>
      <diagonal/>
    </border>
    <border>
      <left style="thin">
        <color indexed="64"/>
      </left>
      <right/>
      <top style="medium">
        <color indexed="10"/>
      </top>
      <bottom style="thin">
        <color indexed="64"/>
      </bottom>
      <diagonal/>
    </border>
    <border>
      <left style="thin">
        <color indexed="64"/>
      </left>
      <right style="medium">
        <color indexed="10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13"/>
      </left>
      <right style="thin">
        <color indexed="13"/>
      </right>
      <top style="thin">
        <color indexed="13"/>
      </top>
      <bottom/>
      <diagonal/>
    </border>
    <border>
      <left style="thin">
        <color indexed="13"/>
      </left>
      <right style="thin">
        <color indexed="13"/>
      </right>
      <top/>
      <bottom style="thin">
        <color indexed="13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13"/>
      </left>
      <right/>
      <top style="thin">
        <color indexed="13"/>
      </top>
      <bottom/>
      <diagonal/>
    </border>
    <border>
      <left/>
      <right style="thin">
        <color indexed="13"/>
      </right>
      <top style="thin">
        <color indexed="13"/>
      </top>
      <bottom/>
      <diagonal/>
    </border>
    <border>
      <left style="thin">
        <color indexed="13"/>
      </left>
      <right/>
      <top/>
      <bottom style="thin">
        <color indexed="13"/>
      </bottom>
      <diagonal/>
    </border>
    <border>
      <left/>
      <right style="thin">
        <color indexed="13"/>
      </right>
      <top/>
      <bottom style="thin">
        <color indexed="1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13"/>
      </top>
      <bottom/>
      <diagonal/>
    </border>
    <border>
      <left/>
      <right/>
      <top/>
      <bottom style="thin">
        <color indexed="13"/>
      </bottom>
      <diagonal/>
    </border>
    <border>
      <left/>
      <right/>
      <top style="medium">
        <color indexed="10"/>
      </top>
      <bottom style="thin">
        <color indexed="64"/>
      </bottom>
      <diagonal/>
    </border>
    <border>
      <left/>
      <right style="thin">
        <color indexed="64"/>
      </right>
      <top style="medium">
        <color indexed="1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FF0000"/>
      </top>
      <bottom style="thin">
        <color indexed="64"/>
      </bottom>
      <diagonal/>
    </border>
    <border>
      <left/>
      <right/>
      <top/>
      <bottom style="thin">
        <color theme="1"/>
      </bottom>
      <diagonal/>
    </border>
    <border>
      <left/>
      <right/>
      <top style="thin">
        <color indexed="64"/>
      </top>
      <bottom style="thin">
        <color theme="1"/>
      </bottom>
      <diagonal/>
    </border>
    <border>
      <left/>
      <right/>
      <top style="thin">
        <color theme="1"/>
      </top>
      <bottom style="hair">
        <color indexed="64"/>
      </bottom>
      <diagonal/>
    </border>
    <border>
      <left/>
      <right style="hair">
        <color indexed="64"/>
      </right>
      <top style="thin">
        <color theme="1"/>
      </top>
      <bottom/>
      <diagonal/>
    </border>
    <border>
      <left style="thin">
        <color indexed="64"/>
      </left>
      <right/>
      <top/>
      <bottom style="thin">
        <color theme="1"/>
      </bottom>
      <diagonal/>
    </border>
    <border>
      <left/>
      <right style="hair">
        <color indexed="64"/>
      </right>
      <top/>
      <bottom style="thin">
        <color theme="1"/>
      </bottom>
      <diagonal/>
    </border>
    <border>
      <left style="thin">
        <color indexed="64"/>
      </left>
      <right/>
      <top style="thin">
        <color theme="1"/>
      </top>
      <bottom/>
      <diagonal/>
    </border>
  </borders>
  <cellStyleXfs count="65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8" fillId="0" borderId="0"/>
    <xf numFmtId="0" fontId="46" fillId="0" borderId="0"/>
    <xf numFmtId="0" fontId="18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3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7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7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73" fillId="0" borderId="0"/>
    <xf numFmtId="0" fontId="17" fillId="0" borderId="0"/>
    <xf numFmtId="0" fontId="73" fillId="0" borderId="0"/>
    <xf numFmtId="0" fontId="17" fillId="0" borderId="0"/>
    <xf numFmtId="0" fontId="73" fillId="0" borderId="0"/>
    <xf numFmtId="0" fontId="17" fillId="0" borderId="0"/>
    <xf numFmtId="0" fontId="73" fillId="0" borderId="0"/>
    <xf numFmtId="0" fontId="17" fillId="0" borderId="0"/>
    <xf numFmtId="0" fontId="17" fillId="0" borderId="0"/>
    <xf numFmtId="0" fontId="17" fillId="0" borderId="0"/>
    <xf numFmtId="0" fontId="144" fillId="0" borderId="0"/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1" fillId="0" borderId="0"/>
    <xf numFmtId="0" fontId="17" fillId="0" borderId="0"/>
    <xf numFmtId="0" fontId="73" fillId="0" borderId="0"/>
    <xf numFmtId="0" fontId="17" fillId="0" borderId="0"/>
    <xf numFmtId="0" fontId="143" fillId="0" borderId="0"/>
    <xf numFmtId="0" fontId="82" fillId="0" borderId="0">
      <alignment vertical="center"/>
    </xf>
    <xf numFmtId="0" fontId="74" fillId="0" borderId="0">
      <alignment vertical="center"/>
    </xf>
    <xf numFmtId="0" fontId="17" fillId="0" borderId="0"/>
    <xf numFmtId="0" fontId="17" fillId="0" borderId="0"/>
    <xf numFmtId="0" fontId="145" fillId="0" borderId="0"/>
    <xf numFmtId="0" fontId="143" fillId="0" borderId="0"/>
    <xf numFmtId="0" fontId="17" fillId="0" borderId="0"/>
  </cellStyleXfs>
  <cellXfs count="1084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Border="1"/>
    <xf numFmtId="0" fontId="0" fillId="0" borderId="0" xfId="0" applyFill="1"/>
    <xf numFmtId="0" fontId="10" fillId="2" borderId="1" xfId="0" applyFont="1" applyFill="1" applyBorder="1" applyAlignment="1">
      <alignment vertical="center" textRotation="90"/>
    </xf>
    <xf numFmtId="0" fontId="15" fillId="2" borderId="2" xfId="0" applyFont="1" applyFill="1" applyBorder="1" applyAlignment="1">
      <alignment vertical="center" textRotation="90"/>
    </xf>
    <xf numFmtId="0" fontId="0" fillId="3" borderId="0" xfId="0" applyFill="1"/>
    <xf numFmtId="0" fontId="19" fillId="0" borderId="0" xfId="0" applyFont="1"/>
    <xf numFmtId="0" fontId="0" fillId="0" borderId="0" xfId="0" applyBorder="1" applyAlignment="1">
      <alignment horizontal="center"/>
    </xf>
    <xf numFmtId="0" fontId="21" fillId="0" borderId="3" xfId="0" applyFont="1" applyBorder="1" applyAlignment="1">
      <alignment horizontal="center"/>
    </xf>
    <xf numFmtId="0" fontId="20" fillId="4" borderId="3" xfId="0" applyFont="1" applyFill="1" applyBorder="1" applyAlignment="1">
      <alignment horizontal="center"/>
    </xf>
    <xf numFmtId="0" fontId="20" fillId="5" borderId="3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0" fontId="20" fillId="7" borderId="4" xfId="0" applyFont="1" applyFill="1" applyBorder="1" applyAlignment="1">
      <alignment horizontal="center"/>
    </xf>
    <xf numFmtId="0" fontId="20" fillId="7" borderId="3" xfId="0" applyFont="1" applyFill="1" applyBorder="1" applyAlignment="1">
      <alignment horizontal="center"/>
    </xf>
    <xf numFmtId="0" fontId="25" fillId="0" borderId="4" xfId="0" applyFont="1" applyFill="1" applyBorder="1" applyAlignment="1">
      <alignment horizontal="left"/>
    </xf>
    <xf numFmtId="0" fontId="20" fillId="0" borderId="4" xfId="0" applyFont="1" applyFill="1" applyBorder="1" applyAlignment="1">
      <alignment horizontal="left"/>
    </xf>
    <xf numFmtId="0" fontId="20" fillId="0" borderId="4" xfId="0" applyFont="1" applyFill="1" applyBorder="1"/>
    <xf numFmtId="0" fontId="26" fillId="0" borderId="4" xfId="0" applyFont="1" applyFill="1" applyBorder="1" applyAlignment="1">
      <alignment horizontal="left"/>
    </xf>
    <xf numFmtId="0" fontId="28" fillId="0" borderId="4" xfId="0" applyFont="1" applyFill="1" applyBorder="1" applyAlignment="1">
      <alignment horizontal="left"/>
    </xf>
    <xf numFmtId="0" fontId="29" fillId="0" borderId="4" xfId="0" applyFont="1" applyFill="1" applyBorder="1" applyAlignment="1">
      <alignment horizontal="left"/>
    </xf>
    <xf numFmtId="2" fontId="20" fillId="6" borderId="3" xfId="0" applyNumberFormat="1" applyFont="1" applyFill="1" applyBorder="1" applyAlignment="1">
      <alignment horizontal="center"/>
    </xf>
    <xf numFmtId="0" fontId="3" fillId="4" borderId="3" xfId="0" applyFont="1" applyFill="1" applyBorder="1"/>
    <xf numFmtId="0" fontId="3" fillId="5" borderId="3" xfId="0" applyFont="1" applyFill="1" applyBorder="1"/>
    <xf numFmtId="0" fontId="17" fillId="0" borderId="0" xfId="0" applyFont="1"/>
    <xf numFmtId="0" fontId="2" fillId="0" borderId="5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5" fillId="5" borderId="3" xfId="0" applyFont="1" applyFill="1" applyBorder="1" applyAlignment="1">
      <alignment horizontal="center"/>
    </xf>
    <xf numFmtId="0" fontId="21" fillId="0" borderId="0" xfId="0" applyFont="1"/>
    <xf numFmtId="0" fontId="21" fillId="0" borderId="3" xfId="0" applyFont="1" applyBorder="1" applyAlignment="1">
      <alignment horizontal="center" vertical="center"/>
    </xf>
    <xf numFmtId="0" fontId="21" fillId="4" borderId="3" xfId="0" applyFont="1" applyFill="1" applyBorder="1" applyAlignment="1">
      <alignment horizontal="center"/>
    </xf>
    <xf numFmtId="0" fontId="21" fillId="5" borderId="3" xfId="0" applyFont="1" applyFill="1" applyBorder="1" applyAlignment="1">
      <alignment horizontal="center"/>
    </xf>
    <xf numFmtId="0" fontId="17" fillId="0" borderId="3" xfId="0" applyFont="1" applyBorder="1" applyAlignment="1">
      <alignment horizontal="center"/>
    </xf>
    <xf numFmtId="0" fontId="17" fillId="0" borderId="3" xfId="0" applyFont="1" applyFill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40" fillId="0" borderId="4" xfId="0" applyFont="1" applyFill="1" applyBorder="1"/>
    <xf numFmtId="0" fontId="2" fillId="0" borderId="6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17" fillId="0" borderId="3" xfId="47" applyFont="1" applyFill="1" applyBorder="1" applyAlignment="1">
      <alignment horizontal="center" vertical="center"/>
    </xf>
    <xf numFmtId="1" fontId="41" fillId="0" borderId="3" xfId="0" applyNumberFormat="1" applyFont="1" applyBorder="1" applyAlignment="1">
      <alignment horizontal="center" vertical="center"/>
    </xf>
    <xf numFmtId="1" fontId="41" fillId="0" borderId="9" xfId="0" applyNumberFormat="1" applyFont="1" applyBorder="1" applyAlignment="1">
      <alignment horizontal="center" vertical="center"/>
    </xf>
    <xf numFmtId="1" fontId="5" fillId="4" borderId="3" xfId="0" applyNumberFormat="1" applyFont="1" applyFill="1" applyBorder="1" applyAlignment="1">
      <alignment horizontal="center"/>
    </xf>
    <xf numFmtId="0" fontId="17" fillId="0" borderId="3" xfId="0" applyFont="1" applyBorder="1" applyAlignment="1">
      <alignment horizontal="center" vertical="center"/>
    </xf>
    <xf numFmtId="1" fontId="17" fillId="0" borderId="3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0" fillId="0" borderId="0" xfId="0" applyBorder="1"/>
    <xf numFmtId="0" fontId="17" fillId="0" borderId="3" xfId="0" applyFont="1" applyFill="1" applyBorder="1" applyAlignment="1">
      <alignment horizontal="center" vertical="center"/>
    </xf>
    <xf numFmtId="0" fontId="29" fillId="0" borderId="4" xfId="0" applyFont="1" applyFill="1" applyBorder="1"/>
    <xf numFmtId="0" fontId="38" fillId="0" borderId="5" xfId="0" applyFont="1" applyFill="1" applyBorder="1" applyAlignment="1">
      <alignment horizontal="center"/>
    </xf>
    <xf numFmtId="0" fontId="38" fillId="0" borderId="7" xfId="0" applyFont="1" applyFill="1" applyBorder="1" applyAlignment="1">
      <alignment horizontal="center"/>
    </xf>
    <xf numFmtId="0" fontId="38" fillId="0" borderId="8" xfId="0" applyFont="1" applyFill="1" applyBorder="1" applyAlignment="1">
      <alignment horizontal="center"/>
    </xf>
    <xf numFmtId="0" fontId="38" fillId="0" borderId="6" xfId="0" applyFont="1" applyFill="1" applyBorder="1" applyAlignment="1">
      <alignment horizontal="center"/>
    </xf>
    <xf numFmtId="0" fontId="38" fillId="0" borderId="10" xfId="0" applyFont="1" applyFill="1" applyBorder="1" applyAlignment="1">
      <alignment horizontal="center"/>
    </xf>
    <xf numFmtId="0" fontId="38" fillId="0" borderId="11" xfId="0" applyFont="1" applyFill="1" applyBorder="1" applyAlignment="1">
      <alignment horizontal="center"/>
    </xf>
    <xf numFmtId="0" fontId="38" fillId="0" borderId="12" xfId="0" applyFont="1" applyFill="1" applyBorder="1" applyAlignment="1">
      <alignment horizontal="center"/>
    </xf>
    <xf numFmtId="0" fontId="48" fillId="0" borderId="3" xfId="0" applyFont="1" applyFill="1" applyBorder="1" applyAlignment="1">
      <alignment horizontal="right" vertical="center"/>
    </xf>
    <xf numFmtId="1" fontId="17" fillId="0" borderId="3" xfId="0" applyNumberFormat="1" applyFont="1" applyFill="1" applyBorder="1" applyAlignment="1">
      <alignment horizontal="center" vertical="center"/>
    </xf>
    <xf numFmtId="0" fontId="26" fillId="0" borderId="3" xfId="0" applyFont="1" applyBorder="1" applyAlignment="1">
      <alignment horizontal="left" vertical="center"/>
    </xf>
    <xf numFmtId="0" fontId="38" fillId="0" borderId="13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26" fillId="0" borderId="3" xfId="0" applyFont="1" applyFill="1" applyBorder="1" applyAlignment="1">
      <alignment horizontal="left"/>
    </xf>
    <xf numFmtId="0" fontId="57" fillId="0" borderId="4" xfId="0" applyFont="1" applyFill="1" applyBorder="1"/>
    <xf numFmtId="0" fontId="58" fillId="0" borderId="3" xfId="0" applyFont="1" applyBorder="1" applyAlignment="1">
      <alignment horizontal="left" vertical="center"/>
    </xf>
    <xf numFmtId="0" fontId="59" fillId="0" borderId="4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center"/>
    </xf>
    <xf numFmtId="0" fontId="4" fillId="0" borderId="9" xfId="0" applyFont="1" applyBorder="1"/>
    <xf numFmtId="0" fontId="4" fillId="0" borderId="9" xfId="0" applyFont="1" applyBorder="1" applyAlignment="1">
      <alignment horizontal="center"/>
    </xf>
    <xf numFmtId="0" fontId="4" fillId="0" borderId="3" xfId="0" applyFont="1" applyBorder="1"/>
    <xf numFmtId="0" fontId="38" fillId="0" borderId="14" xfId="0" applyFont="1" applyFill="1" applyBorder="1" applyAlignment="1">
      <alignment horizontal="center"/>
    </xf>
    <xf numFmtId="164" fontId="6" fillId="0" borderId="15" xfId="0" applyNumberFormat="1" applyFont="1" applyFill="1" applyBorder="1" applyAlignment="1">
      <alignment horizontal="center"/>
    </xf>
    <xf numFmtId="0" fontId="38" fillId="0" borderId="16" xfId="0" applyFont="1" applyFill="1" applyBorder="1" applyAlignment="1">
      <alignment horizontal="center"/>
    </xf>
    <xf numFmtId="0" fontId="17" fillId="0" borderId="0" xfId="0" applyFont="1" applyFill="1"/>
    <xf numFmtId="0" fontId="17" fillId="0" borderId="17" xfId="0" applyFont="1" applyFill="1" applyBorder="1"/>
    <xf numFmtId="0" fontId="17" fillId="0" borderId="18" xfId="0" applyFont="1" applyFill="1" applyBorder="1"/>
    <xf numFmtId="0" fontId="17" fillId="0" borderId="0" xfId="0" applyFont="1" applyFill="1" applyAlignment="1">
      <alignment horizontal="center"/>
    </xf>
    <xf numFmtId="0" fontId="6" fillId="0" borderId="19" xfId="0" applyFont="1" applyFill="1" applyBorder="1" applyAlignment="1">
      <alignment horizontal="center"/>
    </xf>
    <xf numFmtId="164" fontId="6" fillId="0" borderId="19" xfId="0" applyNumberFormat="1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38" fillId="0" borderId="7" xfId="0" applyFont="1" applyFill="1" applyBorder="1" applyAlignment="1"/>
    <xf numFmtId="0" fontId="6" fillId="0" borderId="20" xfId="0" applyFont="1" applyFill="1" applyBorder="1" applyAlignment="1">
      <alignment horizontal="center"/>
    </xf>
    <xf numFmtId="164" fontId="6" fillId="0" borderId="20" xfId="0" applyNumberFormat="1" applyFont="1" applyFill="1" applyBorder="1" applyAlignment="1">
      <alignment horizontal="center"/>
    </xf>
    <xf numFmtId="0" fontId="69" fillId="0" borderId="4" xfId="0" applyFont="1" applyFill="1" applyBorder="1" applyAlignment="1">
      <alignment horizontal="left"/>
    </xf>
    <xf numFmtId="0" fontId="69" fillId="0" borderId="4" xfId="0" applyFont="1" applyFill="1" applyBorder="1"/>
    <xf numFmtId="0" fontId="2" fillId="0" borderId="21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177" fontId="4" fillId="0" borderId="3" xfId="0" applyNumberFormat="1" applyFont="1" applyBorder="1" applyAlignment="1">
      <alignment horizontal="center" vertical="center"/>
    </xf>
    <xf numFmtId="177" fontId="64" fillId="0" borderId="9" xfId="0" applyNumberFormat="1" applyFont="1" applyBorder="1" applyAlignment="1">
      <alignment horizontal="center" vertical="center"/>
    </xf>
    <xf numFmtId="177" fontId="4" fillId="0" borderId="9" xfId="0" applyNumberFormat="1" applyFont="1" applyBorder="1" applyAlignment="1">
      <alignment horizontal="center" vertical="center"/>
    </xf>
    <xf numFmtId="177" fontId="68" fillId="0" borderId="9" xfId="0" applyNumberFormat="1" applyFont="1" applyBorder="1" applyAlignment="1">
      <alignment horizontal="center" vertical="center"/>
    </xf>
    <xf numFmtId="177" fontId="65" fillId="0" borderId="9" xfId="0" applyNumberFormat="1" applyFont="1" applyBorder="1" applyAlignment="1">
      <alignment horizontal="center" vertical="center"/>
    </xf>
    <xf numFmtId="0" fontId="64" fillId="0" borderId="3" xfId="53" applyFont="1" applyFill="1" applyBorder="1" applyAlignment="1">
      <alignment vertical="center"/>
    </xf>
    <xf numFmtId="0" fontId="4" fillId="0" borderId="3" xfId="53" applyFont="1" applyFill="1" applyBorder="1" applyAlignment="1">
      <alignment vertical="center"/>
    </xf>
    <xf numFmtId="0" fontId="72" fillId="0" borderId="3" xfId="53" applyFont="1" applyFill="1" applyBorder="1" applyAlignment="1">
      <alignment vertical="center"/>
    </xf>
    <xf numFmtId="0" fontId="68" fillId="0" borderId="3" xfId="53" applyFont="1" applyFill="1" applyBorder="1" applyAlignment="1">
      <alignment vertical="center"/>
    </xf>
    <xf numFmtId="0" fontId="65" fillId="0" borderId="3" xfId="53" applyFont="1" applyFill="1" applyBorder="1" applyAlignment="1">
      <alignment vertical="center"/>
    </xf>
    <xf numFmtId="177" fontId="72" fillId="0" borderId="9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7" fillId="3" borderId="0" xfId="47" applyFill="1"/>
    <xf numFmtId="0" fontId="17" fillId="0" borderId="0" xfId="47" applyFill="1"/>
    <xf numFmtId="0" fontId="16" fillId="3" borderId="0" xfId="47" applyFont="1" applyFill="1" applyAlignment="1">
      <alignment horizontal="center"/>
    </xf>
    <xf numFmtId="0" fontId="17" fillId="0" borderId="0" xfId="47" applyFont="1" applyFill="1"/>
    <xf numFmtId="0" fontId="23" fillId="0" borderId="3" xfId="47" applyFont="1" applyFill="1" applyBorder="1"/>
    <xf numFmtId="0" fontId="23" fillId="0" borderId="23" xfId="47" applyFont="1" applyFill="1" applyBorder="1"/>
    <xf numFmtId="0" fontId="17" fillId="0" borderId="17" xfId="47" applyFill="1" applyBorder="1"/>
    <xf numFmtId="0" fontId="17" fillId="0" borderId="17" xfId="47" applyFont="1" applyFill="1" applyBorder="1"/>
    <xf numFmtId="0" fontId="17" fillId="0" borderId="0" xfId="47" applyFill="1" applyAlignment="1">
      <alignment horizontal="center"/>
    </xf>
    <xf numFmtId="0" fontId="23" fillId="0" borderId="13" xfId="47" applyFont="1" applyFill="1" applyBorder="1" applyAlignment="1"/>
    <xf numFmtId="0" fontId="87" fillId="0" borderId="4" xfId="0" applyFont="1" applyFill="1" applyBorder="1"/>
    <xf numFmtId="0" fontId="88" fillId="0" borderId="4" xfId="0" applyFont="1" applyFill="1" applyBorder="1"/>
    <xf numFmtId="0" fontId="89" fillId="0" borderId="4" xfId="0" applyFont="1" applyFill="1" applyBorder="1" applyAlignment="1">
      <alignment horizontal="left"/>
    </xf>
    <xf numFmtId="0" fontId="90" fillId="0" borderId="4" xfId="0" applyFont="1" applyFill="1" applyBorder="1" applyAlignment="1">
      <alignment horizontal="left"/>
    </xf>
    <xf numFmtId="0" fontId="91" fillId="0" borderId="3" xfId="0" applyFont="1" applyBorder="1" applyAlignment="1">
      <alignment vertical="center"/>
    </xf>
    <xf numFmtId="0" fontId="92" fillId="0" borderId="3" xfId="0" applyFont="1" applyBorder="1" applyAlignment="1">
      <alignment vertical="center"/>
    </xf>
    <xf numFmtId="0" fontId="4" fillId="0" borderId="3" xfId="0" applyFont="1" applyBorder="1" applyAlignment="1">
      <alignment horizontal="center"/>
    </xf>
    <xf numFmtId="0" fontId="20" fillId="0" borderId="3" xfId="0" applyFont="1" applyFill="1" applyBorder="1"/>
    <xf numFmtId="0" fontId="91" fillId="0" borderId="9" xfId="0" applyFont="1" applyBorder="1" applyAlignment="1">
      <alignment horizontal="center"/>
    </xf>
    <xf numFmtId="0" fontId="92" fillId="0" borderId="9" xfId="0" applyFont="1" applyBorder="1" applyAlignment="1">
      <alignment horizontal="center"/>
    </xf>
    <xf numFmtId="0" fontId="94" fillId="0" borderId="9" xfId="0" applyFont="1" applyBorder="1" applyAlignment="1">
      <alignment horizontal="center" vertical="center"/>
    </xf>
    <xf numFmtId="0" fontId="91" fillId="0" borderId="9" xfId="0" applyFont="1" applyBorder="1" applyAlignment="1">
      <alignment horizontal="center" vertical="center"/>
    </xf>
    <xf numFmtId="0" fontId="92" fillId="0" borderId="9" xfId="0" applyFont="1" applyBorder="1" applyAlignment="1">
      <alignment horizontal="center" vertical="center"/>
    </xf>
    <xf numFmtId="0" fontId="93" fillId="0" borderId="9" xfId="0" applyFont="1" applyBorder="1" applyAlignment="1">
      <alignment horizontal="center" vertical="center"/>
    </xf>
    <xf numFmtId="0" fontId="95" fillId="0" borderId="9" xfId="0" applyFont="1" applyBorder="1" applyAlignment="1">
      <alignment horizontal="center" vertical="center"/>
    </xf>
    <xf numFmtId="0" fontId="17" fillId="0" borderId="24" xfId="47" applyFont="1" applyFill="1" applyBorder="1"/>
    <xf numFmtId="0" fontId="87" fillId="0" borderId="4" xfId="0" applyFont="1" applyFill="1" applyBorder="1" applyAlignment="1">
      <alignment horizontal="left"/>
    </xf>
    <xf numFmtId="0" fontId="93" fillId="0" borderId="3" xfId="0" applyFont="1" applyFill="1" applyBorder="1"/>
    <xf numFmtId="0" fontId="28" fillId="0" borderId="3" xfId="0" applyFont="1" applyFill="1" applyBorder="1" applyAlignment="1">
      <alignment horizontal="left"/>
    </xf>
    <xf numFmtId="0" fontId="90" fillId="0" borderId="4" xfId="0" applyFont="1" applyFill="1" applyBorder="1"/>
    <xf numFmtId="0" fontId="93" fillId="0" borderId="9" xfId="0" applyFont="1" applyBorder="1"/>
    <xf numFmtId="0" fontId="91" fillId="0" borderId="9" xfId="0" applyFont="1" applyBorder="1"/>
    <xf numFmtId="0" fontId="92" fillId="0" borderId="9" xfId="0" applyFont="1" applyBorder="1"/>
    <xf numFmtId="0" fontId="94" fillId="0" borderId="9" xfId="0" applyFont="1" applyBorder="1"/>
    <xf numFmtId="0" fontId="94" fillId="0" borderId="3" xfId="0" applyFont="1" applyBorder="1"/>
    <xf numFmtId="0" fontId="92" fillId="0" borderId="3" xfId="0" applyFont="1" applyBorder="1"/>
    <xf numFmtId="0" fontId="17" fillId="8" borderId="0" xfId="47" applyFill="1"/>
    <xf numFmtId="0" fontId="12" fillId="8" borderId="0" xfId="0" applyFont="1" applyFill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25" xfId="0" applyFont="1" applyBorder="1" applyAlignment="1">
      <alignment horizontal="center" vertical="center"/>
    </xf>
    <xf numFmtId="0" fontId="38" fillId="0" borderId="26" xfId="0" applyFont="1" applyFill="1" applyBorder="1" applyAlignment="1">
      <alignment horizontal="center"/>
    </xf>
    <xf numFmtId="0" fontId="3" fillId="9" borderId="27" xfId="0" applyFont="1" applyFill="1" applyBorder="1" applyAlignment="1">
      <alignment horizontal="center" textRotation="90"/>
    </xf>
    <xf numFmtId="0" fontId="2" fillId="0" borderId="28" xfId="0" applyFont="1" applyFill="1" applyBorder="1" applyAlignment="1">
      <alignment horizontal="center"/>
    </xf>
    <xf numFmtId="0" fontId="38" fillId="0" borderId="29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0" fontId="89" fillId="0" borderId="4" xfId="0" applyFont="1" applyFill="1" applyBorder="1"/>
    <xf numFmtId="0" fontId="20" fillId="0" borderId="3" xfId="0" applyFont="1" applyFill="1" applyBorder="1" applyAlignment="1">
      <alignment horizontal="left"/>
    </xf>
    <xf numFmtId="0" fontId="2" fillId="0" borderId="31" xfId="0" applyFont="1" applyFill="1" applyBorder="1" applyAlignment="1">
      <alignment horizontal="center"/>
    </xf>
    <xf numFmtId="0" fontId="96" fillId="10" borderId="5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0" fillId="0" borderId="0" xfId="0" applyAlignment="1"/>
    <xf numFmtId="0" fontId="97" fillId="0" borderId="32" xfId="0" applyFont="1" applyFill="1" applyBorder="1" applyAlignment="1">
      <alignment vertical="center"/>
    </xf>
    <xf numFmtId="177" fontId="98" fillId="0" borderId="33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17" fillId="0" borderId="3" xfId="0" applyFont="1" applyBorder="1"/>
    <xf numFmtId="0" fontId="78" fillId="0" borderId="32" xfId="0" applyFont="1" applyBorder="1"/>
    <xf numFmtId="0" fontId="97" fillId="0" borderId="34" xfId="0" applyFont="1" applyFill="1" applyBorder="1" applyAlignment="1">
      <alignment vertical="center"/>
    </xf>
    <xf numFmtId="177" fontId="98" fillId="0" borderId="35" xfId="0" applyNumberFormat="1" applyFont="1" applyBorder="1" applyAlignment="1">
      <alignment horizontal="center" vertical="center"/>
    </xf>
    <xf numFmtId="0" fontId="78" fillId="0" borderId="34" xfId="0" applyFont="1" applyBorder="1"/>
    <xf numFmtId="177" fontId="98" fillId="9" borderId="35" xfId="0" applyNumberFormat="1" applyFont="1" applyFill="1" applyBorder="1" applyAlignment="1">
      <alignment horizontal="center" vertical="center"/>
    </xf>
    <xf numFmtId="0" fontId="99" fillId="11" borderId="36" xfId="0" applyFont="1" applyFill="1" applyBorder="1" applyAlignment="1">
      <alignment horizontal="center" vertical="center"/>
    </xf>
    <xf numFmtId="177" fontId="98" fillId="12" borderId="37" xfId="0" applyNumberFormat="1" applyFont="1" applyFill="1" applyBorder="1" applyAlignment="1">
      <alignment horizontal="right" vertical="center"/>
    </xf>
    <xf numFmtId="0" fontId="97" fillId="0" borderId="38" xfId="0" applyFont="1" applyFill="1" applyBorder="1" applyAlignment="1">
      <alignment vertical="center"/>
    </xf>
    <xf numFmtId="177" fontId="98" fillId="0" borderId="39" xfId="0" applyNumberFormat="1" applyFont="1" applyBorder="1" applyAlignment="1">
      <alignment horizontal="center" vertical="center"/>
    </xf>
    <xf numFmtId="0" fontId="0" fillId="0" borderId="3" xfId="0" applyBorder="1"/>
    <xf numFmtId="0" fontId="97" fillId="0" borderId="34" xfId="0" applyFont="1" applyFill="1" applyBorder="1" applyAlignment="1"/>
    <xf numFmtId="0" fontId="99" fillId="11" borderId="40" xfId="0" applyFont="1" applyFill="1" applyBorder="1" applyAlignment="1">
      <alignment horizontal="center" vertical="center"/>
    </xf>
    <xf numFmtId="0" fontId="99" fillId="11" borderId="41" xfId="0" applyFont="1" applyFill="1" applyBorder="1" applyAlignment="1">
      <alignment horizontal="center" vertical="center"/>
    </xf>
    <xf numFmtId="0" fontId="97" fillId="0" borderId="34" xfId="0" applyFont="1" applyBorder="1" applyAlignment="1"/>
    <xf numFmtId="0" fontId="97" fillId="0" borderId="41" xfId="0" applyFont="1" applyFill="1" applyBorder="1" applyAlignment="1">
      <alignment vertical="center"/>
    </xf>
    <xf numFmtId="0" fontId="99" fillId="11" borderId="42" xfId="0" applyFont="1" applyFill="1" applyBorder="1" applyAlignment="1">
      <alignment horizontal="center" vertical="center"/>
    </xf>
    <xf numFmtId="0" fontId="99" fillId="11" borderId="43" xfId="0" applyFont="1" applyFill="1" applyBorder="1" applyAlignment="1">
      <alignment horizontal="center" vertical="center"/>
    </xf>
    <xf numFmtId="0" fontId="97" fillId="0" borderId="38" xfId="0" applyFont="1" applyBorder="1" applyAlignment="1">
      <alignment vertical="center"/>
    </xf>
    <xf numFmtId="177" fontId="98" fillId="9" borderId="39" xfId="0" applyNumberFormat="1" applyFont="1" applyFill="1" applyBorder="1" applyAlignment="1">
      <alignment horizontal="center" vertical="center"/>
    </xf>
    <xf numFmtId="0" fontId="97" fillId="0" borderId="34" xfId="0" applyFont="1" applyBorder="1" applyAlignment="1">
      <alignment vertical="center"/>
    </xf>
    <xf numFmtId="0" fontId="100" fillId="0" borderId="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/>
    </xf>
    <xf numFmtId="0" fontId="2" fillId="0" borderId="44" xfId="0" applyFont="1" applyFill="1" applyBorder="1" applyAlignment="1">
      <alignment horizontal="center"/>
    </xf>
    <xf numFmtId="0" fontId="96" fillId="10" borderId="28" xfId="0" applyFont="1" applyFill="1" applyBorder="1" applyAlignment="1">
      <alignment horizontal="center"/>
    </xf>
    <xf numFmtId="0" fontId="2" fillId="13" borderId="28" xfId="0" applyFont="1" applyFill="1" applyBorder="1" applyAlignment="1">
      <alignment horizontal="center"/>
    </xf>
    <xf numFmtId="0" fontId="4" fillId="0" borderId="3" xfId="0" applyFont="1" applyBorder="1" applyAlignment="1">
      <alignment horizontal="left"/>
    </xf>
    <xf numFmtId="0" fontId="95" fillId="0" borderId="3" xfId="0" applyFont="1" applyBorder="1" applyAlignment="1">
      <alignment horizontal="center" vertical="center"/>
    </xf>
    <xf numFmtId="0" fontId="91" fillId="0" borderId="9" xfId="0" applyFont="1" applyBorder="1" applyAlignment="1">
      <alignment horizontal="left"/>
    </xf>
    <xf numFmtId="0" fontId="92" fillId="0" borderId="9" xfId="0" applyFont="1" applyBorder="1" applyAlignment="1">
      <alignment horizontal="left"/>
    </xf>
    <xf numFmtId="0" fontId="94" fillId="0" borderId="9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93" fillId="0" borderId="9" xfId="0" applyFont="1" applyBorder="1" applyAlignment="1">
      <alignment horizontal="left"/>
    </xf>
    <xf numFmtId="0" fontId="95" fillId="0" borderId="9" xfId="0" applyFont="1" applyBorder="1" applyAlignment="1">
      <alignment horizontal="left"/>
    </xf>
    <xf numFmtId="0" fontId="91" fillId="0" borderId="3" xfId="0" applyFont="1" applyBorder="1" applyAlignment="1">
      <alignment horizontal="left"/>
    </xf>
    <xf numFmtId="0" fontId="91" fillId="0" borderId="3" xfId="0" applyFont="1" applyBorder="1" applyAlignment="1">
      <alignment horizontal="center" vertical="center"/>
    </xf>
    <xf numFmtId="0" fontId="93" fillId="0" borderId="9" xfId="0" applyFont="1" applyBorder="1" applyAlignment="1">
      <alignment vertical="center"/>
    </xf>
    <xf numFmtId="177" fontId="95" fillId="0" borderId="3" xfId="0" applyNumberFormat="1" applyFont="1" applyBorder="1" applyAlignment="1">
      <alignment horizontal="center" vertical="center"/>
    </xf>
    <xf numFmtId="177" fontId="91" fillId="0" borderId="9" xfId="0" applyNumberFormat="1" applyFont="1" applyBorder="1" applyAlignment="1">
      <alignment horizontal="center" vertical="center"/>
    </xf>
    <xf numFmtId="177" fontId="94" fillId="0" borderId="9" xfId="0" applyNumberFormat="1" applyFont="1" applyBorder="1" applyAlignment="1">
      <alignment horizontal="center" vertical="center"/>
    </xf>
    <xf numFmtId="177" fontId="93" fillId="0" borderId="9" xfId="0" applyNumberFormat="1" applyFont="1" applyBorder="1" applyAlignment="1">
      <alignment horizontal="center" vertical="center"/>
    </xf>
    <xf numFmtId="177" fontId="95" fillId="0" borderId="9" xfId="0" applyNumberFormat="1" applyFont="1" applyBorder="1" applyAlignment="1">
      <alignment horizontal="center" vertical="center"/>
    </xf>
    <xf numFmtId="177" fontId="92" fillId="0" borderId="9" xfId="0" applyNumberFormat="1" applyFont="1" applyBorder="1" applyAlignment="1">
      <alignment horizontal="center" vertical="center"/>
    </xf>
    <xf numFmtId="0" fontId="94" fillId="0" borderId="9" xfId="0" applyFont="1" applyBorder="1" applyAlignment="1">
      <alignment horizontal="left" vertical="center"/>
    </xf>
    <xf numFmtId="0" fontId="91" fillId="0" borderId="3" xfId="47" applyFont="1" applyFill="1" applyBorder="1"/>
    <xf numFmtId="0" fontId="4" fillId="0" borderId="3" xfId="47" applyFont="1" applyFill="1" applyBorder="1"/>
    <xf numFmtId="0" fontId="94" fillId="0" borderId="3" xfId="47" applyFont="1" applyFill="1" applyBorder="1"/>
    <xf numFmtId="177" fontId="91" fillId="0" borderId="3" xfId="0" applyNumberFormat="1" applyFont="1" applyBorder="1" applyAlignment="1">
      <alignment horizontal="center" vertical="center"/>
    </xf>
    <xf numFmtId="0" fontId="2" fillId="7" borderId="7" xfId="0" applyFont="1" applyFill="1" applyBorder="1" applyAlignment="1">
      <alignment horizontal="center"/>
    </xf>
    <xf numFmtId="0" fontId="2" fillId="14" borderId="7" xfId="0" applyFont="1" applyFill="1" applyBorder="1" applyAlignment="1">
      <alignment horizontal="center"/>
    </xf>
    <xf numFmtId="0" fontId="2" fillId="0" borderId="45" xfId="0" applyFont="1" applyFill="1" applyBorder="1" applyAlignment="1">
      <alignment horizontal="center"/>
    </xf>
    <xf numFmtId="0" fontId="2" fillId="0" borderId="46" xfId="0" applyFont="1" applyFill="1" applyBorder="1" applyAlignment="1">
      <alignment horizontal="center"/>
    </xf>
    <xf numFmtId="0" fontId="2" fillId="0" borderId="47" xfId="0" applyFont="1" applyFill="1" applyBorder="1" applyAlignment="1">
      <alignment horizontal="center"/>
    </xf>
    <xf numFmtId="0" fontId="96" fillId="10" borderId="7" xfId="0" applyFont="1" applyFill="1" applyBorder="1" applyAlignment="1">
      <alignment horizontal="center"/>
    </xf>
    <xf numFmtId="0" fontId="92" fillId="0" borderId="3" xfId="47" applyFont="1" applyFill="1" applyBorder="1"/>
    <xf numFmtId="0" fontId="4" fillId="0" borderId="3" xfId="47" applyFont="1" applyBorder="1"/>
    <xf numFmtId="0" fontId="4" fillId="0" borderId="3" xfId="47" applyFont="1" applyFill="1" applyBorder="1" applyAlignment="1">
      <alignment horizontal="center"/>
    </xf>
    <xf numFmtId="0" fontId="94" fillId="0" borderId="9" xfId="47" applyFont="1" applyBorder="1"/>
    <xf numFmtId="0" fontId="94" fillId="0" borderId="3" xfId="47" applyFont="1" applyFill="1" applyBorder="1" applyAlignment="1">
      <alignment horizontal="center"/>
    </xf>
    <xf numFmtId="177" fontId="93" fillId="0" borderId="3" xfId="0" applyNumberFormat="1" applyFont="1" applyBorder="1" applyAlignment="1">
      <alignment horizontal="center" vertical="center"/>
    </xf>
    <xf numFmtId="0" fontId="93" fillId="0" borderId="3" xfId="0" applyFont="1" applyBorder="1"/>
    <xf numFmtId="0" fontId="91" fillId="0" borderId="3" xfId="0" applyFont="1" applyBorder="1"/>
    <xf numFmtId="0" fontId="95" fillId="0" borderId="3" xfId="0" applyFont="1" applyFill="1" applyBorder="1" applyAlignment="1">
      <alignment horizontal="center" vertical="center"/>
    </xf>
    <xf numFmtId="0" fontId="93" fillId="0" borderId="3" xfId="0" applyFont="1" applyFill="1" applyBorder="1" applyAlignment="1">
      <alignment horizontal="center" vertical="center"/>
    </xf>
    <xf numFmtId="177" fontId="95" fillId="0" borderId="3" xfId="0" applyNumberFormat="1" applyFont="1" applyFill="1" applyBorder="1" applyAlignment="1">
      <alignment horizontal="center" vertical="center"/>
    </xf>
    <xf numFmtId="0" fontId="95" fillId="0" borderId="9" xfId="0" applyFont="1" applyFill="1" applyBorder="1" applyAlignment="1">
      <alignment horizontal="center" vertical="center"/>
    </xf>
    <xf numFmtId="0" fontId="94" fillId="0" borderId="9" xfId="0" applyFont="1" applyFill="1" applyBorder="1"/>
    <xf numFmtId="0" fontId="94" fillId="0" borderId="9" xfId="0" applyFont="1" applyFill="1" applyBorder="1" applyAlignment="1">
      <alignment horizontal="center" vertical="center"/>
    </xf>
    <xf numFmtId="177" fontId="94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/>
    <xf numFmtId="177" fontId="95" fillId="0" borderId="9" xfId="0" applyNumberFormat="1" applyFont="1" applyFill="1" applyBorder="1" applyAlignment="1">
      <alignment horizontal="center" vertical="center"/>
    </xf>
    <xf numFmtId="177" fontId="92" fillId="0" borderId="9" xfId="0" applyNumberFormat="1" applyFont="1" applyFill="1" applyBorder="1" applyAlignment="1">
      <alignment horizontal="center" vertical="center"/>
    </xf>
    <xf numFmtId="0" fontId="93" fillId="0" borderId="9" xfId="0" applyFont="1" applyFill="1" applyBorder="1" applyAlignment="1">
      <alignment horizontal="center" vertical="center"/>
    </xf>
    <xf numFmtId="177" fontId="91" fillId="0" borderId="9" xfId="0" applyNumberFormat="1" applyFont="1" applyFill="1" applyBorder="1" applyAlignment="1">
      <alignment horizontal="center" vertical="center"/>
    </xf>
    <xf numFmtId="0" fontId="91" fillId="0" borderId="9" xfId="0" applyFont="1" applyFill="1" applyBorder="1" applyAlignment="1">
      <alignment horizontal="center" vertical="center"/>
    </xf>
    <xf numFmtId="177" fontId="93" fillId="0" borderId="9" xfId="0" applyNumberFormat="1" applyFont="1" applyFill="1" applyBorder="1" applyAlignment="1">
      <alignment horizontal="center" vertical="center"/>
    </xf>
    <xf numFmtId="0" fontId="92" fillId="0" borderId="9" xfId="0" applyFont="1" applyFill="1" applyBorder="1" applyAlignment="1">
      <alignment horizontal="center" vertical="center"/>
    </xf>
    <xf numFmtId="0" fontId="93" fillId="0" borderId="9" xfId="0" applyFont="1" applyFill="1" applyBorder="1"/>
    <xf numFmtId="0" fontId="91" fillId="0" borderId="9" xfId="0" applyFont="1" applyFill="1" applyBorder="1"/>
    <xf numFmtId="0" fontId="92" fillId="0" borderId="9" xfId="0" applyFont="1" applyFill="1" applyBorder="1"/>
    <xf numFmtId="0" fontId="101" fillId="0" borderId="32" xfId="0" applyFont="1" applyFill="1" applyBorder="1" applyAlignment="1">
      <alignment vertical="center"/>
    </xf>
    <xf numFmtId="0" fontId="101" fillId="0" borderId="34" xfId="0" applyFont="1" applyFill="1" applyBorder="1" applyAlignment="1">
      <alignment vertical="center"/>
    </xf>
    <xf numFmtId="0" fontId="101" fillId="0" borderId="34" xfId="0" applyFont="1" applyFill="1" applyBorder="1" applyAlignment="1"/>
    <xf numFmtId="0" fontId="101" fillId="0" borderId="38" xfId="0" applyFont="1" applyFill="1" applyBorder="1" applyAlignment="1">
      <alignment vertical="center"/>
    </xf>
    <xf numFmtId="0" fontId="101" fillId="0" borderId="34" xfId="0" applyFont="1" applyBorder="1" applyAlignment="1"/>
    <xf numFmtId="0" fontId="101" fillId="0" borderId="41" xfId="0" applyFont="1" applyFill="1" applyBorder="1" applyAlignment="1">
      <alignment vertical="center"/>
    </xf>
    <xf numFmtId="0" fontId="101" fillId="0" borderId="32" xfId="0" applyFont="1" applyFill="1" applyBorder="1" applyAlignment="1"/>
    <xf numFmtId="0" fontId="79" fillId="0" borderId="32" xfId="0" applyFont="1" applyFill="1" applyBorder="1" applyAlignment="1">
      <alignment vertical="center"/>
    </xf>
    <xf numFmtId="0" fontId="79" fillId="0" borderId="34" xfId="0" applyFont="1" applyFill="1" applyBorder="1" applyAlignment="1">
      <alignment vertical="center"/>
    </xf>
    <xf numFmtId="0" fontId="79" fillId="0" borderId="34" xfId="0" applyFont="1" applyFill="1" applyBorder="1" applyAlignment="1"/>
    <xf numFmtId="0" fontId="79" fillId="0" borderId="34" xfId="0" applyFont="1" applyBorder="1" applyAlignment="1"/>
    <xf numFmtId="0" fontId="101" fillId="0" borderId="32" xfId="0" applyFont="1" applyBorder="1" applyAlignment="1">
      <alignment vertical="center"/>
    </xf>
    <xf numFmtId="0" fontId="101" fillId="0" borderId="34" xfId="0" applyFont="1" applyBorder="1" applyAlignment="1">
      <alignment vertical="center"/>
    </xf>
    <xf numFmtId="177" fontId="98" fillId="0" borderId="48" xfId="0" applyNumberFormat="1" applyFont="1" applyBorder="1" applyAlignment="1">
      <alignment horizontal="center" vertical="center"/>
    </xf>
    <xf numFmtId="177" fontId="98" fillId="0" borderId="49" xfId="0" applyNumberFormat="1" applyFont="1" applyBorder="1" applyAlignment="1">
      <alignment horizontal="center" vertical="center"/>
    </xf>
    <xf numFmtId="177" fontId="98" fillId="9" borderId="49" xfId="0" applyNumberFormat="1" applyFont="1" applyFill="1" applyBorder="1" applyAlignment="1">
      <alignment horizontal="center" vertical="center"/>
    </xf>
    <xf numFmtId="177" fontId="98" fillId="9" borderId="48" xfId="0" applyNumberFormat="1" applyFont="1" applyFill="1" applyBorder="1" applyAlignment="1">
      <alignment horizontal="center" vertical="center"/>
    </xf>
    <xf numFmtId="0" fontId="102" fillId="0" borderId="4" xfId="0" applyFont="1" applyBorder="1"/>
    <xf numFmtId="0" fontId="2" fillId="7" borderId="5" xfId="0" applyFont="1" applyFill="1" applyBorder="1" applyAlignment="1">
      <alignment horizontal="center"/>
    </xf>
    <xf numFmtId="0" fontId="2" fillId="14" borderId="5" xfId="0" applyFont="1" applyFill="1" applyBorder="1" applyAlignment="1">
      <alignment horizontal="center"/>
    </xf>
    <xf numFmtId="0" fontId="80" fillId="0" borderId="32" xfId="0" applyFont="1" applyFill="1" applyBorder="1" applyAlignment="1">
      <alignment vertical="center"/>
    </xf>
    <xf numFmtId="0" fontId="80" fillId="0" borderId="34" xfId="0" applyFont="1" applyFill="1" applyBorder="1" applyAlignment="1">
      <alignment vertical="center"/>
    </xf>
    <xf numFmtId="0" fontId="80" fillId="0" borderId="34" xfId="0" applyFont="1" applyFill="1" applyBorder="1" applyAlignment="1"/>
    <xf numFmtId="0" fontId="80" fillId="0" borderId="38" xfId="0" applyFont="1" applyFill="1" applyBorder="1" applyAlignment="1">
      <alignment vertical="center"/>
    </xf>
    <xf numFmtId="0" fontId="80" fillId="0" borderId="34" xfId="0" applyFont="1" applyBorder="1" applyAlignment="1"/>
    <xf numFmtId="0" fontId="80" fillId="0" borderId="41" xfId="0" applyFont="1" applyFill="1" applyBorder="1" applyAlignment="1">
      <alignment vertical="center"/>
    </xf>
    <xf numFmtId="0" fontId="80" fillId="0" borderId="38" xfId="0" applyFont="1" applyBorder="1" applyAlignment="1">
      <alignment vertical="center"/>
    </xf>
    <xf numFmtId="0" fontId="80" fillId="0" borderId="34" xfId="0" applyFont="1" applyBorder="1" applyAlignment="1">
      <alignment vertical="center"/>
    </xf>
    <xf numFmtId="0" fontId="94" fillId="0" borderId="3" xfId="0" applyFont="1" applyBorder="1" applyAlignment="1">
      <alignment horizontal="left"/>
    </xf>
    <xf numFmtId="177" fontId="94" fillId="0" borderId="3" xfId="0" applyNumberFormat="1" applyFont="1" applyBorder="1" applyAlignment="1">
      <alignment horizontal="center" vertical="center"/>
    </xf>
    <xf numFmtId="0" fontId="94" fillId="0" borderId="3" xfId="0" applyFont="1" applyBorder="1" applyAlignment="1">
      <alignment horizontal="center" vertical="center"/>
    </xf>
    <xf numFmtId="0" fontId="93" fillId="0" borderId="3" xfId="47" applyFont="1" applyFill="1" applyBorder="1"/>
    <xf numFmtId="0" fontId="91" fillId="0" borderId="9" xfId="47" applyFont="1" applyBorder="1"/>
    <xf numFmtId="0" fontId="91" fillId="0" borderId="3" xfId="47" applyFont="1" applyFill="1" applyBorder="1" applyAlignment="1">
      <alignment horizontal="center"/>
    </xf>
    <xf numFmtId="0" fontId="83" fillId="0" borderId="32" xfId="0" applyFont="1" applyFill="1" applyBorder="1" applyAlignment="1">
      <alignment vertical="center"/>
    </xf>
    <xf numFmtId="0" fontId="83" fillId="0" borderId="34" xfId="0" applyFont="1" applyFill="1" applyBorder="1" applyAlignment="1">
      <alignment vertical="center"/>
    </xf>
    <xf numFmtId="0" fontId="83" fillId="0" borderId="34" xfId="0" applyFont="1" applyFill="1" applyBorder="1" applyAlignment="1"/>
    <xf numFmtId="0" fontId="103" fillId="0" borderId="38" xfId="0" applyFont="1" applyFill="1" applyBorder="1" applyAlignment="1">
      <alignment vertical="center"/>
    </xf>
    <xf numFmtId="0" fontId="103" fillId="0" borderId="34" xfId="0" applyFont="1" applyFill="1" applyBorder="1" applyAlignment="1">
      <alignment vertical="center"/>
    </xf>
    <xf numFmtId="0" fontId="103" fillId="0" borderId="34" xfId="0" applyFont="1" applyFill="1" applyBorder="1" applyAlignment="1"/>
    <xf numFmtId="0" fontId="103" fillId="0" borderId="34" xfId="0" applyFont="1" applyBorder="1" applyAlignment="1"/>
    <xf numFmtId="0" fontId="103" fillId="0" borderId="41" xfId="0" applyFont="1" applyFill="1" applyBorder="1" applyAlignment="1">
      <alignment vertical="center"/>
    </xf>
    <xf numFmtId="0" fontId="104" fillId="0" borderId="38" xfId="0" applyFont="1" applyFill="1" applyBorder="1" applyAlignment="1">
      <alignment vertical="center"/>
    </xf>
    <xf numFmtId="0" fontId="104" fillId="0" borderId="34" xfId="0" applyFont="1" applyFill="1" applyBorder="1" applyAlignment="1">
      <alignment vertical="center"/>
    </xf>
    <xf numFmtId="0" fontId="104" fillId="0" borderId="34" xfId="0" applyFont="1" applyFill="1" applyBorder="1" applyAlignment="1"/>
    <xf numFmtId="0" fontId="104" fillId="0" borderId="34" xfId="0" applyFont="1" applyBorder="1" applyAlignment="1"/>
    <xf numFmtId="0" fontId="105" fillId="0" borderId="38" xfId="0" applyFont="1" applyFill="1" applyBorder="1" applyAlignment="1">
      <alignment vertical="center"/>
    </xf>
    <xf numFmtId="0" fontId="105" fillId="0" borderId="34" xfId="0" applyFont="1" applyFill="1" applyBorder="1" applyAlignment="1">
      <alignment vertical="center"/>
    </xf>
    <xf numFmtId="0" fontId="105" fillId="0" borderId="34" xfId="0" applyFont="1" applyFill="1" applyBorder="1" applyAlignment="1"/>
    <xf numFmtId="0" fontId="105" fillId="0" borderId="38" xfId="0" applyFont="1" applyFill="1" applyBorder="1" applyAlignment="1"/>
    <xf numFmtId="0" fontId="105" fillId="0" borderId="34" xfId="0" applyFont="1" applyBorder="1" applyAlignment="1"/>
    <xf numFmtId="0" fontId="84" fillId="0" borderId="38" xfId="0" applyFont="1" applyBorder="1" applyAlignment="1">
      <alignment vertical="center"/>
    </xf>
    <xf numFmtId="0" fontId="84" fillId="0" borderId="34" xfId="0" applyFont="1" applyBorder="1" applyAlignment="1"/>
    <xf numFmtId="0" fontId="84" fillId="0" borderId="34" xfId="0" applyFont="1" applyFill="1" applyBorder="1" applyAlignment="1">
      <alignment vertical="center"/>
    </xf>
    <xf numFmtId="0" fontId="84" fillId="0" borderId="34" xfId="0" applyFont="1" applyFill="1" applyBorder="1" applyAlignment="1"/>
    <xf numFmtId="0" fontId="84" fillId="0" borderId="38" xfId="0" applyFont="1" applyFill="1" applyBorder="1" applyAlignment="1">
      <alignment vertical="center"/>
    </xf>
    <xf numFmtId="0" fontId="84" fillId="0" borderId="34" xfId="0" applyFont="1" applyBorder="1" applyAlignment="1">
      <alignment vertical="center"/>
    </xf>
    <xf numFmtId="0" fontId="106" fillId="0" borderId="9" xfId="0" applyFont="1" applyBorder="1"/>
    <xf numFmtId="0" fontId="106" fillId="0" borderId="9" xfId="0" applyFont="1" applyBorder="1" applyAlignment="1">
      <alignment horizontal="center" vertical="center"/>
    </xf>
    <xf numFmtId="0" fontId="107" fillId="0" borderId="9" xfId="0" applyFont="1" applyBorder="1"/>
    <xf numFmtId="0" fontId="107" fillId="0" borderId="9" xfId="0" applyFont="1" applyBorder="1" applyAlignment="1">
      <alignment horizontal="center" vertical="center"/>
    </xf>
    <xf numFmtId="0" fontId="95" fillId="0" borderId="9" xfId="0" applyFont="1" applyBorder="1"/>
    <xf numFmtId="0" fontId="95" fillId="0" borderId="3" xfId="0" applyFont="1" applyBorder="1"/>
    <xf numFmtId="0" fontId="108" fillId="0" borderId="9" xfId="0" applyFont="1" applyBorder="1"/>
    <xf numFmtId="0" fontId="108" fillId="0" borderId="9" xfId="0" applyFont="1" applyBorder="1" applyAlignment="1">
      <alignment horizontal="center" vertical="center"/>
    </xf>
    <xf numFmtId="0" fontId="106" fillId="0" borderId="3" xfId="47" applyFont="1" applyFill="1" applyBorder="1"/>
    <xf numFmtId="0" fontId="106" fillId="0" borderId="3" xfId="47" applyFont="1" applyFill="1" applyBorder="1" applyAlignment="1">
      <alignment horizontal="center"/>
    </xf>
    <xf numFmtId="177" fontId="106" fillId="0" borderId="9" xfId="0" applyNumberFormat="1" applyFont="1" applyBorder="1" applyAlignment="1">
      <alignment horizontal="center" vertical="center"/>
    </xf>
    <xf numFmtId="177" fontId="107" fillId="0" borderId="9" xfId="0" applyNumberFormat="1" applyFont="1" applyBorder="1" applyAlignment="1">
      <alignment horizontal="center" vertical="center"/>
    </xf>
    <xf numFmtId="177" fontId="108" fillId="0" borderId="9" xfId="0" applyNumberFormat="1" applyFont="1" applyBorder="1" applyAlignment="1">
      <alignment horizontal="center" vertical="center"/>
    </xf>
    <xf numFmtId="0" fontId="108" fillId="0" borderId="9" xfId="0" applyFont="1" applyBorder="1" applyAlignment="1">
      <alignment horizontal="center"/>
    </xf>
    <xf numFmtId="0" fontId="107" fillId="0" borderId="9" xfId="0" applyFont="1" applyBorder="1" applyAlignment="1">
      <alignment horizontal="center"/>
    </xf>
    <xf numFmtId="0" fontId="106" fillId="0" borderId="9" xfId="0" applyFont="1" applyBorder="1" applyAlignment="1">
      <alignment horizontal="center"/>
    </xf>
    <xf numFmtId="0" fontId="107" fillId="0" borderId="3" xfId="0" applyFont="1" applyBorder="1"/>
    <xf numFmtId="0" fontId="107" fillId="0" borderId="3" xfId="0" applyFont="1" applyBorder="1" applyAlignment="1">
      <alignment horizontal="center" vertical="center"/>
    </xf>
    <xf numFmtId="0" fontId="86" fillId="0" borderId="11" xfId="0" applyFont="1" applyBorder="1" applyAlignment="1">
      <alignment horizontal="center" vertical="center"/>
    </xf>
    <xf numFmtId="0" fontId="85" fillId="11" borderId="50" xfId="0" applyFont="1" applyFill="1" applyBorder="1" applyAlignment="1">
      <alignment horizontal="left" vertical="center"/>
    </xf>
    <xf numFmtId="0" fontId="85" fillId="11" borderId="51" xfId="0" applyFont="1" applyFill="1" applyBorder="1" applyAlignment="1">
      <alignment horizontal="center" vertical="center"/>
    </xf>
    <xf numFmtId="0" fontId="85" fillId="11" borderId="11" xfId="0" applyFont="1" applyFill="1" applyBorder="1" applyAlignment="1">
      <alignment horizontal="center" vertical="center"/>
    </xf>
    <xf numFmtId="0" fontId="85" fillId="11" borderId="52" xfId="0" applyFont="1" applyFill="1" applyBorder="1" applyAlignment="1">
      <alignment horizontal="center" vertical="center"/>
    </xf>
    <xf numFmtId="0" fontId="100" fillId="3" borderId="32" xfId="0" applyFont="1" applyFill="1" applyBorder="1" applyAlignment="1">
      <alignment horizontal="center" vertical="center"/>
    </xf>
    <xf numFmtId="164" fontId="98" fillId="0" borderId="39" xfId="0" applyNumberFormat="1" applyFont="1" applyBorder="1" applyAlignment="1">
      <alignment horizontal="center" vertical="center"/>
    </xf>
    <xf numFmtId="177" fontId="98" fillId="12" borderId="38" xfId="0" applyNumberFormat="1" applyFont="1" applyFill="1" applyBorder="1" applyAlignment="1">
      <alignment horizontal="center" vertical="center"/>
    </xf>
    <xf numFmtId="0" fontId="100" fillId="3" borderId="34" xfId="0" applyFont="1" applyFill="1" applyBorder="1" applyAlignment="1">
      <alignment horizontal="center" vertical="center"/>
    </xf>
    <xf numFmtId="177" fontId="98" fillId="12" borderId="34" xfId="0" applyNumberFormat="1" applyFont="1" applyFill="1" applyBorder="1" applyAlignment="1">
      <alignment horizontal="center" vertical="center"/>
    </xf>
    <xf numFmtId="0" fontId="98" fillId="12" borderId="36" xfId="0" applyFont="1" applyFill="1" applyBorder="1" applyAlignment="1">
      <alignment horizontal="center" vertical="center"/>
    </xf>
    <xf numFmtId="177" fontId="98" fillId="12" borderId="37" xfId="0" applyNumberFormat="1" applyFont="1" applyFill="1" applyBorder="1" applyAlignment="1">
      <alignment horizontal="center" vertical="center"/>
    </xf>
    <xf numFmtId="177" fontId="98" fillId="12" borderId="53" xfId="0" applyNumberFormat="1" applyFont="1" applyFill="1" applyBorder="1" applyAlignment="1">
      <alignment horizontal="center" vertical="center"/>
    </xf>
    <xf numFmtId="0" fontId="100" fillId="3" borderId="39" xfId="0" applyFont="1" applyFill="1" applyBorder="1" applyAlignment="1">
      <alignment horizontal="center" vertical="center"/>
    </xf>
    <xf numFmtId="0" fontId="100" fillId="3" borderId="38" xfId="0" applyFont="1" applyFill="1" applyBorder="1" applyAlignment="1">
      <alignment horizontal="center" vertical="center"/>
    </xf>
    <xf numFmtId="177" fontId="98" fillId="12" borderId="39" xfId="0" applyNumberFormat="1" applyFont="1" applyFill="1" applyBorder="1" applyAlignment="1">
      <alignment horizontal="center" vertical="center"/>
    </xf>
    <xf numFmtId="0" fontId="100" fillId="3" borderId="35" xfId="0" applyFont="1" applyFill="1" applyBorder="1" applyAlignment="1">
      <alignment horizontal="center" vertical="center"/>
    </xf>
    <xf numFmtId="177" fontId="98" fillId="12" borderId="35" xfId="0" applyNumberFormat="1" applyFont="1" applyFill="1" applyBorder="1" applyAlignment="1">
      <alignment horizontal="center" vertical="center"/>
    </xf>
    <xf numFmtId="177" fontId="98" fillId="0" borderId="34" xfId="0" applyNumberFormat="1" applyFont="1" applyBorder="1" applyAlignment="1">
      <alignment horizontal="center" vertical="center"/>
    </xf>
    <xf numFmtId="0" fontId="98" fillId="12" borderId="37" xfId="0" applyFont="1" applyFill="1" applyBorder="1" applyAlignment="1">
      <alignment horizontal="center" vertical="center"/>
    </xf>
    <xf numFmtId="0" fontId="98" fillId="12" borderId="54" xfId="0" applyFont="1" applyFill="1" applyBorder="1" applyAlignment="1">
      <alignment horizontal="center" vertical="center"/>
    </xf>
    <xf numFmtId="0" fontId="98" fillId="12" borderId="53" xfId="0" applyFont="1" applyFill="1" applyBorder="1" applyAlignment="1">
      <alignment horizontal="center" vertical="center"/>
    </xf>
    <xf numFmtId="0" fontId="98" fillId="12" borderId="43" xfId="0" applyFont="1" applyFill="1" applyBorder="1" applyAlignment="1">
      <alignment horizontal="center" vertical="center"/>
    </xf>
    <xf numFmtId="164" fontId="98" fillId="12" borderId="37" xfId="0" applyNumberFormat="1" applyFont="1" applyFill="1" applyBorder="1" applyAlignment="1">
      <alignment horizontal="center" vertical="center"/>
    </xf>
    <xf numFmtId="0" fontId="85" fillId="11" borderId="55" xfId="0" applyFont="1" applyFill="1" applyBorder="1" applyAlignment="1">
      <alignment horizontal="left" vertical="center"/>
    </xf>
    <xf numFmtId="0" fontId="85" fillId="11" borderId="55" xfId="0" applyFont="1" applyFill="1" applyBorder="1" applyAlignment="1">
      <alignment horizontal="center" vertical="center"/>
    </xf>
    <xf numFmtId="0" fontId="85" fillId="11" borderId="56" xfId="0" applyFont="1" applyFill="1" applyBorder="1" applyAlignment="1">
      <alignment horizontal="center" vertical="center"/>
    </xf>
    <xf numFmtId="0" fontId="100" fillId="3" borderId="33" xfId="0" applyFont="1" applyFill="1" applyBorder="1" applyAlignment="1">
      <alignment horizontal="center" vertical="center"/>
    </xf>
    <xf numFmtId="0" fontId="98" fillId="12" borderId="42" xfId="0" applyFont="1" applyFill="1" applyBorder="1" applyAlignment="1">
      <alignment horizontal="center" vertical="center"/>
    </xf>
    <xf numFmtId="0" fontId="98" fillId="12" borderId="41" xfId="0" applyFont="1" applyFill="1" applyBorder="1" applyAlignment="1">
      <alignment horizontal="center" vertical="center"/>
    </xf>
    <xf numFmtId="0" fontId="98" fillId="12" borderId="57" xfId="0" applyFont="1" applyFill="1" applyBorder="1" applyAlignment="1">
      <alignment horizontal="center" vertical="center"/>
    </xf>
    <xf numFmtId="0" fontId="81" fillId="3" borderId="39" xfId="0" applyFont="1" applyFill="1" applyBorder="1" applyAlignment="1">
      <alignment horizontal="center" vertical="center"/>
    </xf>
    <xf numFmtId="0" fontId="81" fillId="3" borderId="38" xfId="0" applyFont="1" applyFill="1" applyBorder="1" applyAlignment="1">
      <alignment horizontal="center" vertical="center"/>
    </xf>
    <xf numFmtId="0" fontId="81" fillId="3" borderId="35" xfId="0" applyFont="1" applyFill="1" applyBorder="1" applyAlignment="1">
      <alignment horizontal="center" vertical="center"/>
    </xf>
    <xf numFmtId="0" fontId="81" fillId="3" borderId="34" xfId="0" applyFont="1" applyFill="1" applyBorder="1" applyAlignment="1">
      <alignment horizontal="center" vertical="center"/>
    </xf>
    <xf numFmtId="0" fontId="78" fillId="0" borderId="32" xfId="0" applyFont="1" applyBorder="1" applyAlignment="1">
      <alignment horizontal="center"/>
    </xf>
    <xf numFmtId="0" fontId="78" fillId="0" borderId="34" xfId="0" applyFont="1" applyBorder="1" applyAlignment="1">
      <alignment horizontal="center"/>
    </xf>
    <xf numFmtId="0" fontId="10" fillId="0" borderId="0" xfId="0" applyFont="1" applyAlignment="1">
      <alignment horizontal="center" vertical="center"/>
    </xf>
    <xf numFmtId="0" fontId="2" fillId="13" borderId="7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117" fillId="15" borderId="3" xfId="0" applyFont="1" applyFill="1" applyBorder="1" applyAlignment="1">
      <alignment horizontal="center" vertical="center"/>
    </xf>
    <xf numFmtId="0" fontId="118" fillId="15" borderId="3" xfId="0" applyFont="1" applyFill="1" applyBorder="1" applyAlignment="1">
      <alignment horizontal="center" vertical="center"/>
    </xf>
    <xf numFmtId="0" fontId="3" fillId="16" borderId="3" xfId="0" applyFont="1" applyFill="1" applyBorder="1" applyAlignment="1">
      <alignment vertical="center"/>
    </xf>
    <xf numFmtId="0" fontId="3" fillId="16" borderId="58" xfId="0" applyFont="1" applyFill="1" applyBorder="1" applyAlignment="1">
      <alignment vertical="center"/>
    </xf>
    <xf numFmtId="0" fontId="3" fillId="16" borderId="58" xfId="0" applyNumberFormat="1" applyFont="1" applyFill="1" applyBorder="1" applyAlignment="1">
      <alignment horizontal="center" vertical="center"/>
    </xf>
    <xf numFmtId="0" fontId="3" fillId="16" borderId="3" xfId="0" applyNumberFormat="1" applyFont="1" applyFill="1" applyBorder="1" applyAlignment="1">
      <alignment horizontal="center" vertical="center"/>
    </xf>
    <xf numFmtId="0" fontId="3" fillId="16" borderId="3" xfId="0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center" textRotation="90"/>
    </xf>
    <xf numFmtId="0" fontId="5" fillId="17" borderId="27" xfId="0" applyFont="1" applyFill="1" applyBorder="1" applyAlignment="1">
      <alignment horizontal="center" textRotation="90"/>
    </xf>
    <xf numFmtId="0" fontId="3" fillId="5" borderId="27" xfId="0" applyFont="1" applyFill="1" applyBorder="1" applyAlignment="1">
      <alignment horizontal="center" textRotation="90"/>
    </xf>
    <xf numFmtId="0" fontId="4" fillId="2" borderId="27" xfId="0" applyFont="1" applyFill="1" applyBorder="1" applyAlignment="1">
      <alignment horizontal="center" textRotation="90"/>
    </xf>
    <xf numFmtId="0" fontId="4" fillId="17" borderId="59" xfId="0" applyFont="1" applyFill="1" applyBorder="1" applyAlignment="1">
      <alignment horizontal="center" textRotation="90"/>
    </xf>
    <xf numFmtId="0" fontId="2" fillId="0" borderId="60" xfId="0" applyFont="1" applyFill="1" applyBorder="1" applyAlignment="1">
      <alignment horizontal="center"/>
    </xf>
    <xf numFmtId="0" fontId="2" fillId="0" borderId="61" xfId="0" applyFont="1" applyFill="1" applyBorder="1" applyAlignment="1">
      <alignment horizontal="center"/>
    </xf>
    <xf numFmtId="0" fontId="25" fillId="0" borderId="3" xfId="0" applyFont="1" applyFill="1" applyBorder="1"/>
    <xf numFmtId="0" fontId="69" fillId="0" borderId="3" xfId="0" applyFont="1" applyFill="1" applyBorder="1"/>
    <xf numFmtId="0" fontId="29" fillId="0" borderId="3" xfId="0" applyFont="1" applyFill="1" applyBorder="1"/>
    <xf numFmtId="0" fontId="88" fillId="0" borderId="3" xfId="0" applyFont="1" applyFill="1" applyBorder="1"/>
    <xf numFmtId="0" fontId="26" fillId="0" borderId="3" xfId="0" applyFont="1" applyFill="1" applyBorder="1"/>
    <xf numFmtId="0" fontId="28" fillId="0" borderId="3" xfId="0" applyFont="1" applyFill="1" applyBorder="1"/>
    <xf numFmtId="0" fontId="3" fillId="0" borderId="0" xfId="0" applyFont="1"/>
    <xf numFmtId="0" fontId="8" fillId="12" borderId="5" xfId="0" applyFont="1" applyFill="1" applyBorder="1" applyAlignment="1">
      <alignment horizontal="center"/>
    </xf>
    <xf numFmtId="0" fontId="6" fillId="12" borderId="3" xfId="0" applyFont="1" applyFill="1" applyBorder="1" applyAlignment="1">
      <alignment horizontal="left"/>
    </xf>
    <xf numFmtId="0" fontId="7" fillId="12" borderId="62" xfId="0" applyFont="1" applyFill="1" applyBorder="1" applyAlignment="1">
      <alignment horizontal="center"/>
    </xf>
    <xf numFmtId="0" fontId="61" fillId="12" borderId="3" xfId="0" applyFont="1" applyFill="1" applyBorder="1" applyAlignment="1">
      <alignment horizontal="left"/>
    </xf>
    <xf numFmtId="0" fontId="7" fillId="12" borderId="63" xfId="0" applyFont="1" applyFill="1" applyBorder="1" applyAlignment="1">
      <alignment horizontal="center"/>
    </xf>
    <xf numFmtId="0" fontId="66" fillId="12" borderId="3" xfId="0" applyFont="1" applyFill="1" applyBorder="1" applyAlignment="1">
      <alignment horizontal="left"/>
    </xf>
    <xf numFmtId="0" fontId="66" fillId="12" borderId="19" xfId="0" applyFont="1" applyFill="1" applyBorder="1" applyAlignment="1"/>
    <xf numFmtId="0" fontId="62" fillId="12" borderId="3" xfId="0" applyFont="1" applyFill="1" applyBorder="1" applyAlignment="1">
      <alignment horizontal="left"/>
    </xf>
    <xf numFmtId="0" fontId="62" fillId="12" borderId="19" xfId="0" applyFont="1" applyFill="1" applyBorder="1" applyAlignment="1"/>
    <xf numFmtId="0" fontId="61" fillId="12" borderId="19" xfId="0" applyFont="1" applyFill="1" applyBorder="1" applyAlignment="1"/>
    <xf numFmtId="0" fontId="60" fillId="12" borderId="3" xfId="0" applyFont="1" applyFill="1" applyBorder="1"/>
    <xf numFmtId="0" fontId="60" fillId="12" borderId="19" xfId="0" applyFont="1" applyFill="1" applyBorder="1" applyAlignment="1"/>
    <xf numFmtId="0" fontId="8" fillId="12" borderId="64" xfId="0" applyFont="1" applyFill="1" applyBorder="1" applyAlignment="1">
      <alignment horizontal="center"/>
    </xf>
    <xf numFmtId="0" fontId="6" fillId="12" borderId="19" xfId="0" applyFont="1" applyFill="1" applyBorder="1" applyAlignment="1"/>
    <xf numFmtId="0" fontId="66" fillId="12" borderId="9" xfId="0" applyFont="1" applyFill="1" applyBorder="1" applyAlignment="1">
      <alignment horizontal="left"/>
    </xf>
    <xf numFmtId="0" fontId="66" fillId="12" borderId="3" xfId="0" applyFont="1" applyFill="1" applyBorder="1" applyAlignment="1"/>
    <xf numFmtId="0" fontId="61" fillId="12" borderId="3" xfId="0" applyFont="1" applyFill="1" applyBorder="1" applyAlignment="1">
      <alignment horizontal="left" vertical="center"/>
    </xf>
    <xf numFmtId="0" fontId="60" fillId="12" borderId="3" xfId="0" applyFont="1" applyFill="1" applyBorder="1" applyAlignment="1">
      <alignment horizontal="left"/>
    </xf>
    <xf numFmtId="0" fontId="119" fillId="12" borderId="3" xfId="0" applyFont="1" applyFill="1" applyBorder="1" applyAlignment="1">
      <alignment horizontal="left"/>
    </xf>
    <xf numFmtId="0" fontId="62" fillId="12" borderId="15" xfId="0" applyFont="1" applyFill="1" applyBorder="1" applyAlignment="1"/>
    <xf numFmtId="0" fontId="119" fillId="12" borderId="3" xfId="0" applyFont="1" applyFill="1" applyBorder="1"/>
    <xf numFmtId="0" fontId="60" fillId="12" borderId="15" xfId="0" applyFont="1" applyFill="1" applyBorder="1" applyAlignment="1"/>
    <xf numFmtId="0" fontId="6" fillId="12" borderId="15" xfId="0" applyFont="1" applyFill="1" applyBorder="1" applyAlignment="1"/>
    <xf numFmtId="0" fontId="61" fillId="12" borderId="15" xfId="0" applyFont="1" applyFill="1" applyBorder="1" applyAlignment="1"/>
    <xf numFmtId="0" fontId="121" fillId="12" borderId="3" xfId="0" applyFont="1" applyFill="1" applyBorder="1" applyAlignment="1">
      <alignment horizontal="left"/>
    </xf>
    <xf numFmtId="0" fontId="6" fillId="12" borderId="3" xfId="0" applyFont="1" applyFill="1" applyBorder="1" applyAlignment="1"/>
    <xf numFmtId="0" fontId="121" fillId="12" borderId="3" xfId="0" applyFont="1" applyFill="1" applyBorder="1" applyAlignment="1"/>
    <xf numFmtId="0" fontId="121" fillId="12" borderId="3" xfId="0" applyFont="1" applyFill="1" applyBorder="1"/>
    <xf numFmtId="0" fontId="119" fillId="12" borderId="58" xfId="0" applyFont="1" applyFill="1" applyBorder="1" applyAlignment="1">
      <alignment horizontal="left"/>
    </xf>
    <xf numFmtId="0" fontId="6" fillId="12" borderId="58" xfId="0" applyFont="1" applyFill="1" applyBorder="1" applyAlignment="1">
      <alignment horizontal="left"/>
    </xf>
    <xf numFmtId="0" fontId="8" fillId="12" borderId="65" xfId="0" applyFont="1" applyFill="1" applyBorder="1" applyAlignment="1">
      <alignment horizontal="center"/>
    </xf>
    <xf numFmtId="0" fontId="6" fillId="12" borderId="66" xfId="0" applyFont="1" applyFill="1" applyBorder="1" applyAlignment="1">
      <alignment horizontal="left"/>
    </xf>
    <xf numFmtId="0" fontId="7" fillId="12" borderId="67" xfId="0" applyFont="1" applyFill="1" applyBorder="1" applyAlignment="1">
      <alignment horizontal="center"/>
    </xf>
    <xf numFmtId="0" fontId="6" fillId="12" borderId="20" xfId="0" applyFont="1" applyFill="1" applyBorder="1" applyAlignment="1"/>
    <xf numFmtId="0" fontId="30" fillId="3" borderId="4" xfId="0" applyFont="1" applyFill="1" applyBorder="1" applyAlignment="1">
      <alignment horizontal="left"/>
    </xf>
    <xf numFmtId="0" fontId="5" fillId="3" borderId="4" xfId="0" applyFont="1" applyFill="1" applyBorder="1" applyAlignment="1">
      <alignment horizontal="left"/>
    </xf>
    <xf numFmtId="0" fontId="5" fillId="3" borderId="4" xfId="0" applyFont="1" applyFill="1" applyBorder="1"/>
    <xf numFmtId="0" fontId="49" fillId="3" borderId="4" xfId="0" applyFont="1" applyFill="1" applyBorder="1" applyAlignment="1">
      <alignment horizontal="left"/>
    </xf>
    <xf numFmtId="0" fontId="63" fillId="3" borderId="4" xfId="0" applyFont="1" applyFill="1" applyBorder="1" applyAlignment="1">
      <alignment horizontal="left"/>
    </xf>
    <xf numFmtId="0" fontId="49" fillId="3" borderId="4" xfId="0" applyFont="1" applyFill="1" applyBorder="1"/>
    <xf numFmtId="0" fontId="31" fillId="3" borderId="4" xfId="0" applyFont="1" applyFill="1" applyBorder="1"/>
    <xf numFmtId="0" fontId="32" fillId="3" borderId="4" xfId="0" applyFont="1" applyFill="1" applyBorder="1" applyAlignment="1">
      <alignment horizontal="left"/>
    </xf>
    <xf numFmtId="0" fontId="54" fillId="3" borderId="4" xfId="0" applyFont="1" applyFill="1" applyBorder="1" applyAlignment="1">
      <alignment horizontal="left"/>
    </xf>
    <xf numFmtId="0" fontId="39" fillId="3" borderId="3" xfId="0" applyFont="1" applyFill="1" applyBorder="1"/>
    <xf numFmtId="0" fontId="32" fillId="3" borderId="3" xfId="0" applyFont="1" applyFill="1" applyBorder="1"/>
    <xf numFmtId="0" fontId="32" fillId="3" borderId="4" xfId="0" applyFont="1" applyFill="1" applyBorder="1"/>
    <xf numFmtId="0" fontId="33" fillId="3" borderId="4" xfId="0" applyFont="1" applyFill="1" applyBorder="1" applyAlignment="1">
      <alignment horizontal="left"/>
    </xf>
    <xf numFmtId="0" fontId="55" fillId="3" borderId="4" xfId="0" applyFont="1" applyFill="1" applyBorder="1" applyAlignment="1">
      <alignment horizontal="left"/>
    </xf>
    <xf numFmtId="0" fontId="47" fillId="3" borderId="4" xfId="0" applyFont="1" applyFill="1" applyBorder="1" applyAlignment="1">
      <alignment horizontal="left"/>
    </xf>
    <xf numFmtId="0" fontId="47" fillId="3" borderId="3" xfId="0" applyFont="1" applyFill="1" applyBorder="1" applyAlignment="1">
      <alignment horizontal="left" vertical="center"/>
    </xf>
    <xf numFmtId="0" fontId="33" fillId="3" borderId="3" xfId="0" applyFont="1" applyFill="1" applyBorder="1" applyAlignment="1">
      <alignment horizontal="left" vertical="center"/>
    </xf>
    <xf numFmtId="0" fontId="51" fillId="3" borderId="4" xfId="0" applyFont="1" applyFill="1" applyBorder="1" applyAlignment="1">
      <alignment horizontal="left"/>
    </xf>
    <xf numFmtId="0" fontId="56" fillId="3" borderId="4" xfId="0" applyFont="1" applyFill="1" applyBorder="1" applyAlignment="1">
      <alignment horizontal="left"/>
    </xf>
    <xf numFmtId="0" fontId="122" fillId="3" borderId="3" xfId="0" applyFont="1" applyFill="1" applyBorder="1"/>
    <xf numFmtId="0" fontId="21" fillId="3" borderId="3" xfId="0" applyFont="1" applyFill="1" applyBorder="1"/>
    <xf numFmtId="0" fontId="17" fillId="0" borderId="0" xfId="0" applyFont="1" applyAlignment="1">
      <alignment horizontal="center"/>
    </xf>
    <xf numFmtId="0" fontId="21" fillId="0" borderId="0" xfId="0" applyFont="1" applyBorder="1"/>
    <xf numFmtId="0" fontId="3" fillId="16" borderId="68" xfId="0" applyFont="1" applyFill="1" applyBorder="1" applyAlignment="1">
      <alignment horizontal="center" vertical="center"/>
    </xf>
    <xf numFmtId="0" fontId="5" fillId="16" borderId="69" xfId="0" applyFont="1" applyFill="1" applyBorder="1" applyAlignment="1">
      <alignment vertical="center"/>
    </xf>
    <xf numFmtId="0" fontId="3" fillId="16" borderId="69" xfId="0" applyFont="1" applyFill="1" applyBorder="1" applyAlignment="1">
      <alignment horizontal="center" vertical="center"/>
    </xf>
    <xf numFmtId="0" fontId="3" fillId="16" borderId="70" xfId="0" applyFont="1" applyFill="1" applyBorder="1" applyAlignment="1">
      <alignment horizontal="center" vertical="center"/>
    </xf>
    <xf numFmtId="0" fontId="3" fillId="4" borderId="70" xfId="0" applyFont="1" applyFill="1" applyBorder="1" applyAlignment="1">
      <alignment horizontal="center" vertical="center"/>
    </xf>
    <xf numFmtId="0" fontId="3" fillId="5" borderId="70" xfId="0" applyFont="1" applyFill="1" applyBorder="1" applyAlignment="1">
      <alignment horizontal="center" vertical="center"/>
    </xf>
    <xf numFmtId="0" fontId="3" fillId="6" borderId="71" xfId="0" applyFont="1" applyFill="1" applyBorder="1" applyAlignment="1">
      <alignment horizontal="center" vertical="center"/>
    </xf>
    <xf numFmtId="0" fontId="34" fillId="3" borderId="72" xfId="0" applyFont="1" applyFill="1" applyBorder="1" applyAlignment="1">
      <alignment horizontal="center"/>
    </xf>
    <xf numFmtId="0" fontId="34" fillId="3" borderId="73" xfId="0" applyFont="1" applyFill="1" applyBorder="1" applyAlignment="1">
      <alignment horizontal="center"/>
    </xf>
    <xf numFmtId="0" fontId="30" fillId="3" borderId="74" xfId="0" applyFont="1" applyFill="1" applyBorder="1" applyAlignment="1">
      <alignment horizontal="left"/>
    </xf>
    <xf numFmtId="0" fontId="21" fillId="3" borderId="75" xfId="0" applyFont="1" applyFill="1" applyBorder="1" applyAlignment="1">
      <alignment horizontal="center"/>
    </xf>
    <xf numFmtId="0" fontId="5" fillId="3" borderId="74" xfId="0" applyFont="1" applyFill="1" applyBorder="1" applyAlignment="1">
      <alignment horizontal="center"/>
    </xf>
    <xf numFmtId="0" fontId="5" fillId="3" borderId="75" xfId="0" applyFont="1" applyFill="1" applyBorder="1" applyAlignment="1">
      <alignment horizontal="center"/>
    </xf>
    <xf numFmtId="0" fontId="17" fillId="3" borderId="75" xfId="0" applyFont="1" applyFill="1" applyBorder="1" applyAlignment="1">
      <alignment horizontal="center"/>
    </xf>
    <xf numFmtId="2" fontId="5" fillId="3" borderId="76" xfId="0" applyNumberFormat="1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left"/>
    </xf>
    <xf numFmtId="0" fontId="21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0" fontId="17" fillId="3" borderId="68" xfId="0" applyFont="1" applyFill="1" applyBorder="1" applyAlignment="1">
      <alignment horizontal="center"/>
    </xf>
    <xf numFmtId="0" fontId="5" fillId="3" borderId="77" xfId="0" applyFont="1" applyFill="1" applyBorder="1" applyAlignment="1">
      <alignment horizontal="left"/>
    </xf>
    <xf numFmtId="0" fontId="100" fillId="0" borderId="70" xfId="0" applyFont="1" applyFill="1" applyBorder="1" applyAlignment="1">
      <alignment horizontal="center" vertical="center"/>
    </xf>
    <xf numFmtId="0" fontId="5" fillId="4" borderId="70" xfId="0" applyFont="1" applyFill="1" applyBorder="1" applyAlignment="1">
      <alignment horizontal="center"/>
    </xf>
    <xf numFmtId="0" fontId="5" fillId="5" borderId="70" xfId="0" applyFont="1" applyFill="1" applyBorder="1" applyAlignment="1">
      <alignment horizontal="center"/>
    </xf>
    <xf numFmtId="0" fontId="17" fillId="3" borderId="72" xfId="0" applyFont="1" applyFill="1" applyBorder="1" applyAlignment="1">
      <alignment horizontal="center"/>
    </xf>
    <xf numFmtId="0" fontId="17" fillId="3" borderId="73" xfId="0" applyFont="1" applyFill="1" applyBorder="1" applyAlignment="1">
      <alignment horizontal="center"/>
    </xf>
    <xf numFmtId="0" fontId="5" fillId="3" borderId="74" xfId="0" applyFont="1" applyFill="1" applyBorder="1"/>
    <xf numFmtId="0" fontId="5" fillId="0" borderId="0" xfId="0" applyFont="1" applyFill="1" applyBorder="1"/>
    <xf numFmtId="0" fontId="50" fillId="3" borderId="68" xfId="0" applyFont="1" applyFill="1" applyBorder="1" applyAlignment="1">
      <alignment horizontal="center"/>
    </xf>
    <xf numFmtId="0" fontId="49" fillId="3" borderId="77" xfId="0" applyFont="1" applyFill="1" applyBorder="1" applyAlignment="1">
      <alignment horizontal="left"/>
    </xf>
    <xf numFmtId="0" fontId="50" fillId="3" borderId="72" xfId="0" applyFont="1" applyFill="1" applyBorder="1" applyAlignment="1">
      <alignment horizontal="center"/>
    </xf>
    <xf numFmtId="0" fontId="35" fillId="3" borderId="72" xfId="0" applyFont="1" applyFill="1" applyBorder="1" applyAlignment="1">
      <alignment horizontal="center"/>
    </xf>
    <xf numFmtId="0" fontId="35" fillId="3" borderId="73" xfId="0" applyFont="1" applyFill="1" applyBorder="1" applyAlignment="1">
      <alignment horizontal="center"/>
    </xf>
    <xf numFmtId="0" fontId="31" fillId="3" borderId="74" xfId="0" applyFont="1" applyFill="1" applyBorder="1"/>
    <xf numFmtId="0" fontId="35" fillId="0" borderId="0" xfId="0" applyFont="1" applyFill="1" applyBorder="1" applyAlignment="1">
      <alignment horizontal="center"/>
    </xf>
    <xf numFmtId="0" fontId="31" fillId="0" borderId="0" xfId="0" applyFont="1" applyFill="1" applyBorder="1"/>
    <xf numFmtId="0" fontId="36" fillId="3" borderId="68" xfId="0" applyFont="1" applyFill="1" applyBorder="1" applyAlignment="1">
      <alignment horizontal="center"/>
    </xf>
    <xf numFmtId="0" fontId="32" fillId="3" borderId="77" xfId="0" applyFont="1" applyFill="1" applyBorder="1" applyAlignment="1">
      <alignment horizontal="left"/>
    </xf>
    <xf numFmtId="0" fontId="36" fillId="3" borderId="72" xfId="0" applyFont="1" applyFill="1" applyBorder="1" applyAlignment="1">
      <alignment horizontal="center"/>
    </xf>
    <xf numFmtId="0" fontId="36" fillId="3" borderId="73" xfId="0" applyFont="1" applyFill="1" applyBorder="1" applyAlignment="1">
      <alignment horizontal="center"/>
    </xf>
    <xf numFmtId="0" fontId="32" fillId="3" borderId="74" xfId="0" applyFont="1" applyFill="1" applyBorder="1" applyAlignment="1">
      <alignment horizontal="left"/>
    </xf>
    <xf numFmtId="0" fontId="21" fillId="3" borderId="75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left"/>
    </xf>
    <xf numFmtId="0" fontId="21" fillId="0" borderId="0" xfId="0" applyFont="1" applyFill="1" applyBorder="1" applyAlignment="1">
      <alignment horizontal="center" vertical="center"/>
    </xf>
    <xf numFmtId="0" fontId="37" fillId="3" borderId="68" xfId="0" applyFont="1" applyFill="1" applyBorder="1" applyAlignment="1">
      <alignment horizontal="center"/>
    </xf>
    <xf numFmtId="0" fontId="33" fillId="3" borderId="77" xfId="0" applyFont="1" applyFill="1" applyBorder="1" applyAlignment="1">
      <alignment horizontal="left"/>
    </xf>
    <xf numFmtId="0" fontId="37" fillId="3" borderId="72" xfId="0" applyFont="1" applyFill="1" applyBorder="1" applyAlignment="1">
      <alignment horizontal="center"/>
    </xf>
    <xf numFmtId="0" fontId="37" fillId="3" borderId="73" xfId="0" applyFont="1" applyFill="1" applyBorder="1" applyAlignment="1">
      <alignment horizontal="center"/>
    </xf>
    <xf numFmtId="0" fontId="33" fillId="3" borderId="74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33" fillId="0" borderId="0" xfId="0" applyFont="1" applyFill="1" applyBorder="1" applyAlignment="1">
      <alignment horizontal="left"/>
    </xf>
    <xf numFmtId="0" fontId="52" fillId="3" borderId="68" xfId="0" applyFont="1" applyFill="1" applyBorder="1" applyAlignment="1">
      <alignment horizontal="center"/>
    </xf>
    <xf numFmtId="0" fontId="51" fillId="3" borderId="77" xfId="0" applyFont="1" applyFill="1" applyBorder="1" applyAlignment="1">
      <alignment horizontal="left"/>
    </xf>
    <xf numFmtId="0" fontId="52" fillId="3" borderId="72" xfId="0" applyFont="1" applyFill="1" applyBorder="1" applyAlignment="1">
      <alignment horizontal="center"/>
    </xf>
    <xf numFmtId="0" fontId="21" fillId="3" borderId="75" xfId="0" applyFont="1" applyFill="1" applyBorder="1"/>
    <xf numFmtId="0" fontId="17" fillId="3" borderId="75" xfId="0" applyFont="1" applyFill="1" applyBorder="1"/>
    <xf numFmtId="0" fontId="5" fillId="3" borderId="75" xfId="0" applyFont="1" applyFill="1" applyBorder="1"/>
    <xf numFmtId="0" fontId="123" fillId="7" borderId="77" xfId="0" applyFont="1" applyFill="1" applyBorder="1" applyAlignment="1">
      <alignment horizontal="center"/>
    </xf>
    <xf numFmtId="0" fontId="124" fillId="0" borderId="70" xfId="0" applyFont="1" applyFill="1" applyBorder="1" applyAlignment="1">
      <alignment horizontal="center" vertical="center"/>
    </xf>
    <xf numFmtId="0" fontId="124" fillId="0" borderId="70" xfId="58" applyFont="1" applyFill="1" applyBorder="1" applyAlignment="1">
      <alignment horizontal="center" vertical="center"/>
    </xf>
    <xf numFmtId="0" fontId="123" fillId="7" borderId="4" xfId="0" applyFont="1" applyFill="1" applyBorder="1" applyAlignment="1">
      <alignment horizontal="center"/>
    </xf>
    <xf numFmtId="0" fontId="124" fillId="0" borderId="3" xfId="0" applyFont="1" applyFill="1" applyBorder="1" applyAlignment="1">
      <alignment horizontal="center" vertical="center"/>
    </xf>
    <xf numFmtId="0" fontId="124" fillId="0" borderId="3" xfId="58" applyFont="1" applyFill="1" applyBorder="1" applyAlignment="1">
      <alignment horizontal="center" vertical="center"/>
    </xf>
    <xf numFmtId="0" fontId="124" fillId="0" borderId="3" xfId="0" applyFont="1" applyBorder="1" applyAlignment="1">
      <alignment horizontal="center"/>
    </xf>
    <xf numFmtId="0" fontId="124" fillId="0" borderId="3" xfId="55" applyFont="1" applyFill="1" applyBorder="1" applyAlignment="1">
      <alignment horizontal="center" vertical="center"/>
    </xf>
    <xf numFmtId="0" fontId="123" fillId="0" borderId="3" xfId="0" applyFont="1" applyFill="1" applyBorder="1" applyAlignment="1">
      <alignment horizontal="center"/>
    </xf>
    <xf numFmtId="0" fontId="124" fillId="0" borderId="3" xfId="53" applyFont="1" applyFill="1" applyBorder="1" applyAlignment="1">
      <alignment horizontal="center" vertical="center"/>
    </xf>
    <xf numFmtId="0" fontId="124" fillId="0" borderId="3" xfId="47" applyFont="1" applyBorder="1" applyAlignment="1">
      <alignment horizontal="center"/>
    </xf>
    <xf numFmtId="0" fontId="124" fillId="0" borderId="3" xfId="0" applyFont="1" applyBorder="1" applyAlignment="1">
      <alignment horizontal="center" vertical="center"/>
    </xf>
    <xf numFmtId="0" fontId="124" fillId="0" borderId="3" xfId="0" applyFont="1" applyFill="1" applyBorder="1" applyAlignment="1">
      <alignment horizontal="center"/>
    </xf>
    <xf numFmtId="0" fontId="124" fillId="0" borderId="3" xfId="2" applyFont="1" applyFill="1" applyBorder="1" applyAlignment="1">
      <alignment horizontal="center"/>
    </xf>
    <xf numFmtId="0" fontId="124" fillId="0" borderId="3" xfId="5" applyFont="1" applyFill="1" applyBorder="1" applyAlignment="1">
      <alignment horizontal="center" vertical="center"/>
    </xf>
    <xf numFmtId="0" fontId="124" fillId="0" borderId="3" xfId="53" applyFont="1" applyBorder="1" applyAlignment="1">
      <alignment horizontal="center" vertical="center"/>
    </xf>
    <xf numFmtId="0" fontId="124" fillId="0" borderId="9" xfId="0" applyFont="1" applyFill="1" applyBorder="1" applyAlignment="1">
      <alignment horizontal="center" vertical="center"/>
    </xf>
    <xf numFmtId="0" fontId="124" fillId="7" borderId="3" xfId="0" applyFont="1" applyFill="1" applyBorder="1"/>
    <xf numFmtId="0" fontId="124" fillId="7" borderId="3" xfId="0" applyFont="1" applyFill="1" applyBorder="1" applyAlignment="1">
      <alignment horizontal="center"/>
    </xf>
    <xf numFmtId="0" fontId="124" fillId="0" borderId="9" xfId="0" applyFont="1" applyFill="1" applyBorder="1" applyAlignment="1">
      <alignment horizontal="center"/>
    </xf>
    <xf numFmtId="0" fontId="123" fillId="7" borderId="3" xfId="0" applyFont="1" applyFill="1" applyBorder="1" applyAlignment="1">
      <alignment horizontal="center"/>
    </xf>
    <xf numFmtId="0" fontId="124" fillId="0" borderId="70" xfId="53" applyFont="1" applyFill="1" applyBorder="1" applyAlignment="1">
      <alignment horizontal="center" vertical="center"/>
    </xf>
    <xf numFmtId="0" fontId="124" fillId="0" borderId="70" xfId="0" applyFont="1" applyFill="1" applyBorder="1" applyAlignment="1">
      <alignment horizontal="center"/>
    </xf>
    <xf numFmtId="0" fontId="123" fillId="0" borderId="3" xfId="0" applyFont="1" applyBorder="1" applyAlignment="1">
      <alignment horizontal="center"/>
    </xf>
    <xf numFmtId="0" fontId="123" fillId="0" borderId="3" xfId="2" applyFont="1" applyFill="1" applyBorder="1" applyAlignment="1">
      <alignment horizontal="center"/>
    </xf>
    <xf numFmtId="0" fontId="125" fillId="0" borderId="3" xfId="5" applyFont="1" applyFill="1" applyBorder="1" applyAlignment="1">
      <alignment horizontal="center" vertical="center"/>
    </xf>
    <xf numFmtId="0" fontId="123" fillId="0" borderId="9" xfId="0" applyFont="1" applyFill="1" applyBorder="1" applyAlignment="1">
      <alignment horizontal="center"/>
    </xf>
    <xf numFmtId="2" fontId="126" fillId="6" borderId="78" xfId="0" applyNumberFormat="1" applyFont="1" applyFill="1" applyBorder="1" applyAlignment="1">
      <alignment horizontal="center"/>
    </xf>
    <xf numFmtId="0" fontId="0" fillId="3" borderId="0" xfId="0" applyFill="1" applyAlignment="1"/>
    <xf numFmtId="0" fontId="27" fillId="3" borderId="3" xfId="0" applyFont="1" applyFill="1" applyBorder="1"/>
    <xf numFmtId="2" fontId="27" fillId="3" borderId="3" xfId="0" applyNumberFormat="1" applyFont="1" applyFill="1" applyBorder="1" applyAlignment="1">
      <alignment horizontal="center"/>
    </xf>
    <xf numFmtId="0" fontId="58" fillId="3" borderId="3" xfId="0" applyFont="1" applyFill="1" applyBorder="1"/>
    <xf numFmtId="2" fontId="42" fillId="3" borderId="3" xfId="0" applyNumberFormat="1" applyFont="1" applyFill="1" applyBorder="1" applyAlignment="1">
      <alignment horizontal="center"/>
    </xf>
    <xf numFmtId="0" fontId="44" fillId="3" borderId="3" xfId="0" applyFont="1" applyFill="1" applyBorder="1"/>
    <xf numFmtId="2" fontId="44" fillId="3" borderId="3" xfId="0" applyNumberFormat="1" applyFont="1" applyFill="1" applyBorder="1" applyAlignment="1">
      <alignment horizontal="center"/>
    </xf>
    <xf numFmtId="0" fontId="20" fillId="3" borderId="3" xfId="0" applyFont="1" applyFill="1" applyBorder="1"/>
    <xf numFmtId="2" fontId="20" fillId="3" borderId="3" xfId="0" applyNumberFormat="1" applyFont="1" applyFill="1" applyBorder="1" applyAlignment="1">
      <alignment horizontal="center"/>
    </xf>
    <xf numFmtId="0" fontId="43" fillId="3" borderId="3" xfId="0" applyFont="1" applyFill="1" applyBorder="1"/>
    <xf numFmtId="2" fontId="43" fillId="3" borderId="3" xfId="0" applyNumberFormat="1" applyFont="1" applyFill="1" applyBorder="1" applyAlignment="1">
      <alignment horizontal="center"/>
    </xf>
    <xf numFmtId="0" fontId="45" fillId="3" borderId="3" xfId="0" applyFont="1" applyFill="1" applyBorder="1"/>
    <xf numFmtId="2" fontId="45" fillId="3" borderId="3" xfId="0" applyNumberFormat="1" applyFont="1" applyFill="1" applyBorder="1" applyAlignment="1">
      <alignment horizontal="center"/>
    </xf>
    <xf numFmtId="0" fontId="71" fillId="18" borderId="0" xfId="1" applyFont="1" applyFill="1" applyAlignment="1" applyProtection="1">
      <alignment vertical="center"/>
    </xf>
    <xf numFmtId="0" fontId="2" fillId="14" borderId="28" xfId="0" applyFont="1" applyFill="1" applyBorder="1" applyAlignment="1">
      <alignment horizontal="center"/>
    </xf>
    <xf numFmtId="0" fontId="2" fillId="0" borderId="79" xfId="0" applyFont="1" applyFill="1" applyBorder="1" applyAlignment="1">
      <alignment horizontal="center"/>
    </xf>
    <xf numFmtId="0" fontId="129" fillId="18" borderId="0" xfId="1" applyFont="1" applyFill="1" applyAlignment="1" applyProtection="1">
      <alignment horizontal="center" vertical="center"/>
    </xf>
    <xf numFmtId="0" fontId="71" fillId="18" borderId="37" xfId="1" applyFont="1" applyFill="1" applyBorder="1" applyAlignment="1" applyProtection="1">
      <alignment horizontal="center" vertical="center"/>
    </xf>
    <xf numFmtId="0" fontId="3" fillId="0" borderId="32" xfId="0" applyFont="1" applyBorder="1"/>
    <xf numFmtId="0" fontId="3" fillId="0" borderId="34" xfId="0" applyFont="1" applyBorder="1"/>
    <xf numFmtId="0" fontId="130" fillId="0" borderId="32" xfId="0" applyFont="1" applyBorder="1"/>
    <xf numFmtId="0" fontId="130" fillId="0" borderId="34" xfId="0" applyFont="1" applyBorder="1"/>
    <xf numFmtId="0" fontId="131" fillId="0" borderId="32" xfId="0" applyFont="1" applyBorder="1"/>
    <xf numFmtId="0" fontId="131" fillId="0" borderId="34" xfId="0" applyFont="1" applyBorder="1"/>
    <xf numFmtId="0" fontId="132" fillId="0" borderId="4" xfId="0" applyFont="1" applyFill="1" applyBorder="1" applyAlignment="1">
      <alignment horizontal="left"/>
    </xf>
    <xf numFmtId="0" fontId="133" fillId="0" borderId="32" xfId="0" applyFont="1" applyBorder="1"/>
    <xf numFmtId="0" fontId="133" fillId="0" borderId="34" xfId="0" applyFont="1" applyBorder="1"/>
    <xf numFmtId="0" fontId="137" fillId="0" borderId="9" xfId="0" applyFont="1" applyBorder="1" applyAlignment="1">
      <alignment horizontal="center"/>
    </xf>
    <xf numFmtId="0" fontId="138" fillId="0" borderId="9" xfId="0" applyFont="1" applyBorder="1" applyAlignment="1">
      <alignment horizontal="center"/>
    </xf>
    <xf numFmtId="0" fontId="139" fillId="0" borderId="9" xfId="0" applyFont="1" applyBorder="1" applyAlignment="1">
      <alignment horizontal="center"/>
    </xf>
    <xf numFmtId="0" fontId="140" fillId="0" borderId="9" xfId="0" applyFont="1" applyBorder="1" applyAlignment="1">
      <alignment horizontal="center"/>
    </xf>
    <xf numFmtId="177" fontId="137" fillId="0" borderId="9" xfId="0" applyNumberFormat="1" applyFont="1" applyBorder="1" applyAlignment="1">
      <alignment horizontal="center" vertical="center"/>
    </xf>
    <xf numFmtId="177" fontId="138" fillId="0" borderId="9" xfId="0" applyNumberFormat="1" applyFont="1" applyBorder="1" applyAlignment="1">
      <alignment horizontal="center" vertical="center"/>
    </xf>
    <xf numFmtId="177" fontId="139" fillId="0" borderId="9" xfId="0" applyNumberFormat="1" applyFont="1" applyBorder="1" applyAlignment="1">
      <alignment horizontal="center" vertical="center"/>
    </xf>
    <xf numFmtId="177" fontId="140" fillId="0" borderId="9" xfId="0" applyNumberFormat="1" applyFont="1" applyBorder="1" applyAlignment="1">
      <alignment horizontal="center" vertical="center"/>
    </xf>
    <xf numFmtId="0" fontId="138" fillId="0" borderId="3" xfId="0" applyFont="1" applyBorder="1" applyAlignment="1">
      <alignment horizontal="center"/>
    </xf>
    <xf numFmtId="0" fontId="139" fillId="0" borderId="3" xfId="0" applyFont="1" applyBorder="1" applyAlignment="1">
      <alignment horizontal="center"/>
    </xf>
    <xf numFmtId="0" fontId="139" fillId="0" borderId="3" xfId="0" applyFont="1" applyBorder="1"/>
    <xf numFmtId="0" fontId="140" fillId="0" borderId="3" xfId="0" applyFont="1" applyBorder="1"/>
    <xf numFmtId="0" fontId="138" fillId="0" borderId="3" xfId="0" applyFont="1" applyBorder="1"/>
    <xf numFmtId="177" fontId="138" fillId="0" borderId="3" xfId="0" applyNumberFormat="1" applyFont="1" applyBorder="1" applyAlignment="1">
      <alignment horizontal="center" vertical="center"/>
    </xf>
    <xf numFmtId="0" fontId="141" fillId="0" borderId="9" xfId="0" applyFont="1" applyBorder="1"/>
    <xf numFmtId="0" fontId="141" fillId="0" borderId="3" xfId="47" applyFont="1" applyBorder="1"/>
    <xf numFmtId="0" fontId="141" fillId="0" borderId="9" xfId="47" applyFont="1" applyBorder="1"/>
    <xf numFmtId="0" fontId="137" fillId="0" borderId="9" xfId="47" applyFont="1" applyBorder="1"/>
    <xf numFmtId="0" fontId="17" fillId="0" borderId="3" xfId="2" applyFont="1" applyFill="1" applyBorder="1" applyAlignment="1">
      <alignment horizontal="center"/>
    </xf>
    <xf numFmtId="0" fontId="137" fillId="0" borderId="3" xfId="60" applyFont="1" applyBorder="1"/>
    <xf numFmtId="0" fontId="137" fillId="0" borderId="3" xfId="0" applyFont="1" applyBorder="1"/>
    <xf numFmtId="0" fontId="65" fillId="0" borderId="3" xfId="60" applyFont="1" applyBorder="1"/>
    <xf numFmtId="0" fontId="140" fillId="0" borderId="3" xfId="60" applyFont="1" applyBorder="1"/>
    <xf numFmtId="0" fontId="139" fillId="0" borderId="3" xfId="60" applyFont="1" applyBorder="1"/>
    <xf numFmtId="0" fontId="138" fillId="0" borderId="3" xfId="60" applyFont="1" applyBorder="1"/>
    <xf numFmtId="0" fontId="4" fillId="0" borderId="3" xfId="60" applyFont="1" applyBorder="1"/>
    <xf numFmtId="0" fontId="17" fillId="0" borderId="3" xfId="60" applyFont="1" applyBorder="1" applyAlignment="1">
      <alignment horizontal="center"/>
    </xf>
    <xf numFmtId="0" fontId="17" fillId="0" borderId="3" xfId="47" applyFont="1" applyBorder="1" applyAlignment="1">
      <alignment horizontal="center"/>
    </xf>
    <xf numFmtId="0" fontId="59" fillId="0" borderId="4" xfId="0" applyFont="1" applyFill="1" applyBorder="1"/>
    <xf numFmtId="0" fontId="51" fillId="3" borderId="3" xfId="0" applyFont="1" applyFill="1" applyBorder="1"/>
    <xf numFmtId="0" fontId="141" fillId="0" borderId="3" xfId="47" applyFont="1" applyFill="1" applyBorder="1"/>
    <xf numFmtId="0" fontId="141" fillId="0" borderId="3" xfId="47" applyFont="1" applyFill="1" applyBorder="1" applyAlignment="1">
      <alignment horizontal="center"/>
    </xf>
    <xf numFmtId="0" fontId="137" fillId="0" borderId="3" xfId="47" applyFont="1" applyFill="1" applyBorder="1" applyAlignment="1">
      <alignment horizontal="center"/>
    </xf>
    <xf numFmtId="0" fontId="139" fillId="0" borderId="3" xfId="47" applyFont="1" applyFill="1" applyBorder="1"/>
    <xf numFmtId="0" fontId="6" fillId="12" borderId="9" xfId="0" applyFont="1" applyFill="1" applyBorder="1" applyAlignment="1">
      <alignment horizontal="left"/>
    </xf>
    <xf numFmtId="0" fontId="4" fillId="0" borderId="3" xfId="5" applyFont="1" applyBorder="1"/>
    <xf numFmtId="0" fontId="17" fillId="0" borderId="3" xfId="5" applyFont="1" applyBorder="1" applyAlignment="1">
      <alignment horizontal="center"/>
    </xf>
    <xf numFmtId="177" fontId="142" fillId="0" borderId="9" xfId="0" applyNumberFormat="1" applyFont="1" applyBorder="1" applyAlignment="1">
      <alignment horizontal="center" vertical="center"/>
    </xf>
    <xf numFmtId="0" fontId="62" fillId="12" borderId="3" xfId="0" applyFont="1" applyFill="1" applyBorder="1"/>
    <xf numFmtId="0" fontId="146" fillId="27" borderId="28" xfId="0" applyFont="1" applyFill="1" applyBorder="1" applyAlignment="1">
      <alignment horizontal="center"/>
    </xf>
    <xf numFmtId="0" fontId="2" fillId="28" borderId="7" xfId="0" applyFont="1" applyFill="1" applyBorder="1" applyAlignment="1">
      <alignment horizontal="center"/>
    </xf>
    <xf numFmtId="0" fontId="38" fillId="28" borderId="5" xfId="0" applyFont="1" applyFill="1" applyBorder="1" applyAlignment="1">
      <alignment horizontal="center"/>
    </xf>
    <xf numFmtId="0" fontId="2" fillId="28" borderId="28" xfId="0" applyFont="1" applyFill="1" applyBorder="1" applyAlignment="1">
      <alignment horizontal="center"/>
    </xf>
    <xf numFmtId="0" fontId="17" fillId="0" borderId="117" xfId="60" applyFont="1" applyBorder="1" applyAlignment="1">
      <alignment horizontal="center"/>
    </xf>
    <xf numFmtId="2" fontId="5" fillId="6" borderId="78" xfId="0" applyNumberFormat="1" applyFont="1" applyFill="1" applyBorder="1" applyAlignment="1">
      <alignment horizontal="center"/>
    </xf>
    <xf numFmtId="2" fontId="5" fillId="6" borderId="71" xfId="0" applyNumberFormat="1" applyFont="1" applyFill="1" applyBorder="1" applyAlignment="1">
      <alignment horizontal="center"/>
    </xf>
    <xf numFmtId="0" fontId="3" fillId="6" borderId="78" xfId="0" applyFont="1" applyFill="1" applyBorder="1"/>
    <xf numFmtId="0" fontId="16" fillId="29" borderId="0" xfId="47" applyFont="1" applyFill="1" applyAlignment="1">
      <alignment horizontal="center"/>
    </xf>
    <xf numFmtId="0" fontId="16" fillId="29" borderId="0" xfId="47" applyFont="1" applyFill="1" applyAlignment="1"/>
    <xf numFmtId="0" fontId="17" fillId="29" borderId="0" xfId="47" applyFill="1"/>
    <xf numFmtId="0" fontId="26" fillId="0" borderId="4" xfId="0" applyFont="1" applyBorder="1" applyAlignment="1">
      <alignment horizontal="left" vertical="center"/>
    </xf>
    <xf numFmtId="0" fontId="90" fillId="0" borderId="3" xfId="0" applyFont="1" applyFill="1" applyBorder="1" applyAlignment="1">
      <alignment horizontal="left"/>
    </xf>
    <xf numFmtId="0" fontId="89" fillId="0" borderId="3" xfId="0" applyFont="1" applyFill="1" applyBorder="1"/>
    <xf numFmtId="0" fontId="61" fillId="12" borderId="9" xfId="0" applyFont="1" applyFill="1" applyBorder="1" applyAlignment="1">
      <alignment horizontal="left"/>
    </xf>
    <xf numFmtId="0" fontId="6" fillId="12" borderId="3" xfId="0" applyFont="1" applyFill="1" applyBorder="1"/>
    <xf numFmtId="0" fontId="66" fillId="12" borderId="15" xfId="0" applyFont="1" applyFill="1" applyBorder="1" applyAlignment="1"/>
    <xf numFmtId="0" fontId="2" fillId="14" borderId="14" xfId="0" applyFont="1" applyFill="1" applyBorder="1" applyAlignment="1">
      <alignment horizontal="center"/>
    </xf>
    <xf numFmtId="0" fontId="147" fillId="30" borderId="0" xfId="1" applyFont="1" applyFill="1" applyAlignment="1" applyProtection="1">
      <alignment horizontal="center" vertical="center"/>
    </xf>
    <xf numFmtId="0" fontId="138" fillId="0" borderId="9" xfId="60" applyFont="1" applyBorder="1"/>
    <xf numFmtId="0" fontId="4" fillId="0" borderId="9" xfId="60" applyFont="1" applyBorder="1"/>
    <xf numFmtId="0" fontId="65" fillId="0" borderId="9" xfId="60" applyFont="1" applyBorder="1"/>
    <xf numFmtId="0" fontId="148" fillId="0" borderId="34" xfId="0" applyFont="1" applyBorder="1" applyAlignment="1">
      <alignment horizontal="center"/>
    </xf>
    <xf numFmtId="0" fontId="9" fillId="12" borderId="3" xfId="0" applyFont="1" applyFill="1" applyBorder="1" applyAlignment="1">
      <alignment horizontal="left"/>
    </xf>
    <xf numFmtId="0" fontId="38" fillId="31" borderId="5" xfId="0" applyFont="1" applyFill="1" applyBorder="1" applyAlignment="1">
      <alignment horizontal="center"/>
    </xf>
    <xf numFmtId="0" fontId="2" fillId="31" borderId="28" xfId="0" applyFont="1" applyFill="1" applyBorder="1" applyAlignment="1">
      <alignment horizontal="center"/>
    </xf>
    <xf numFmtId="0" fontId="38" fillId="31" borderId="11" xfId="0" applyFont="1" applyFill="1" applyBorder="1" applyAlignment="1">
      <alignment horizontal="center"/>
    </xf>
    <xf numFmtId="0" fontId="38" fillId="0" borderId="80" xfId="0" applyFont="1" applyFill="1" applyBorder="1" applyAlignment="1">
      <alignment horizontal="center"/>
    </xf>
    <xf numFmtId="0" fontId="85" fillId="11" borderId="50" xfId="0" applyFont="1" applyFill="1" applyBorder="1" applyAlignment="1">
      <alignment horizontal="center" vertical="center"/>
    </xf>
    <xf numFmtId="0" fontId="78" fillId="0" borderId="42" xfId="0" applyFont="1" applyBorder="1"/>
    <xf numFmtId="0" fontId="99" fillId="0" borderId="39" xfId="0" applyFont="1" applyFill="1" applyBorder="1" applyAlignment="1">
      <alignment horizontal="center" vertical="center"/>
    </xf>
    <xf numFmtId="0" fontId="99" fillId="0" borderId="38" xfId="0" applyFont="1" applyFill="1" applyBorder="1" applyAlignment="1">
      <alignment horizontal="center" vertical="center"/>
    </xf>
    <xf numFmtId="0" fontId="99" fillId="0" borderId="35" xfId="0" applyFont="1" applyFill="1" applyBorder="1" applyAlignment="1">
      <alignment horizontal="center" vertical="center"/>
    </xf>
    <xf numFmtId="0" fontId="99" fillId="0" borderId="34" xfId="0" applyFont="1" applyFill="1" applyBorder="1" applyAlignment="1">
      <alignment horizontal="center" vertical="center"/>
    </xf>
    <xf numFmtId="0" fontId="149" fillId="0" borderId="34" xfId="0" applyFont="1" applyBorder="1"/>
    <xf numFmtId="0" fontId="150" fillId="0" borderId="39" xfId="0" applyFont="1" applyFill="1" applyBorder="1" applyAlignment="1">
      <alignment horizontal="center" vertical="center"/>
    </xf>
    <xf numFmtId="0" fontId="150" fillId="0" borderId="38" xfId="0" applyFont="1" applyFill="1" applyBorder="1" applyAlignment="1">
      <alignment horizontal="center" vertical="center"/>
    </xf>
    <xf numFmtId="177" fontId="149" fillId="0" borderId="39" xfId="0" applyNumberFormat="1" applyFont="1" applyBorder="1" applyAlignment="1">
      <alignment horizontal="center" vertical="center"/>
    </xf>
    <xf numFmtId="0" fontId="150" fillId="0" borderId="35" xfId="0" applyFont="1" applyFill="1" applyBorder="1" applyAlignment="1">
      <alignment horizontal="center" vertical="center"/>
    </xf>
    <xf numFmtId="0" fontId="150" fillId="0" borderId="34" xfId="0" applyFont="1" applyFill="1" applyBorder="1" applyAlignment="1">
      <alignment horizontal="center" vertical="center"/>
    </xf>
    <xf numFmtId="177" fontId="149" fillId="0" borderId="35" xfId="0" applyNumberFormat="1" applyFont="1" applyBorder="1" applyAlignment="1">
      <alignment horizontal="center" vertical="center"/>
    </xf>
    <xf numFmtId="177" fontId="149" fillId="0" borderId="34" xfId="0" applyNumberFormat="1" applyFont="1" applyBorder="1" applyAlignment="1">
      <alignment horizontal="center" vertical="center"/>
    </xf>
    <xf numFmtId="0" fontId="151" fillId="0" borderId="32" xfId="0" applyFont="1" applyBorder="1"/>
    <xf numFmtId="0" fontId="152" fillId="0" borderId="34" xfId="0" applyFont="1" applyBorder="1"/>
    <xf numFmtId="0" fontId="153" fillId="0" borderId="34" xfId="0" applyFont="1" applyBorder="1"/>
    <xf numFmtId="0" fontId="152" fillId="0" borderId="32" xfId="0" applyFont="1" applyBorder="1"/>
    <xf numFmtId="177" fontId="152" fillId="0" borderId="39" xfId="0" applyNumberFormat="1" applyFont="1" applyBorder="1" applyAlignment="1">
      <alignment horizontal="center" vertical="center"/>
    </xf>
    <xf numFmtId="177" fontId="152" fillId="0" borderId="35" xfId="0" applyNumberFormat="1" applyFont="1" applyBorder="1" applyAlignment="1">
      <alignment horizontal="center" vertical="center"/>
    </xf>
    <xf numFmtId="177" fontId="151" fillId="0" borderId="39" xfId="0" applyNumberFormat="1" applyFont="1" applyBorder="1" applyAlignment="1">
      <alignment horizontal="center" vertical="center"/>
    </xf>
    <xf numFmtId="0" fontId="151" fillId="0" borderId="34" xfId="0" applyFont="1" applyBorder="1"/>
    <xf numFmtId="177" fontId="151" fillId="0" borderId="35" xfId="0" applyNumberFormat="1" applyFont="1" applyBorder="1" applyAlignment="1">
      <alignment horizontal="center" vertical="center"/>
    </xf>
    <xf numFmtId="0" fontId="154" fillId="0" borderId="39" xfId="0" applyFont="1" applyFill="1" applyBorder="1" applyAlignment="1">
      <alignment horizontal="center" vertical="center"/>
    </xf>
    <xf numFmtId="0" fontId="154" fillId="0" borderId="38" xfId="0" applyFont="1" applyFill="1" applyBorder="1" applyAlignment="1">
      <alignment horizontal="center" vertical="center"/>
    </xf>
    <xf numFmtId="0" fontId="154" fillId="0" borderId="35" xfId="0" applyFont="1" applyFill="1" applyBorder="1" applyAlignment="1">
      <alignment horizontal="center" vertical="center"/>
    </xf>
    <xf numFmtId="0" fontId="154" fillId="0" borderId="34" xfId="0" applyFont="1" applyFill="1" applyBorder="1" applyAlignment="1">
      <alignment horizontal="center" vertical="center"/>
    </xf>
    <xf numFmtId="0" fontId="155" fillId="0" borderId="39" xfId="0" applyFont="1" applyFill="1" applyBorder="1" applyAlignment="1">
      <alignment horizontal="center" vertical="center"/>
    </xf>
    <xf numFmtId="0" fontId="155" fillId="0" borderId="38" xfId="0" applyFont="1" applyFill="1" applyBorder="1" applyAlignment="1">
      <alignment horizontal="center" vertical="center"/>
    </xf>
    <xf numFmtId="0" fontId="155" fillId="0" borderId="35" xfId="0" applyFont="1" applyFill="1" applyBorder="1" applyAlignment="1">
      <alignment horizontal="center" vertical="center"/>
    </xf>
    <xf numFmtId="0" fontId="155" fillId="0" borderId="34" xfId="0" applyFont="1" applyFill="1" applyBorder="1" applyAlignment="1">
      <alignment horizontal="center" vertical="center"/>
    </xf>
    <xf numFmtId="0" fontId="152" fillId="0" borderId="38" xfId="0" applyFont="1" applyBorder="1"/>
    <xf numFmtId="0" fontId="156" fillId="0" borderId="39" xfId="0" applyFont="1" applyFill="1" applyBorder="1" applyAlignment="1">
      <alignment horizontal="center" vertical="center"/>
    </xf>
    <xf numFmtId="0" fontId="156" fillId="0" borderId="38" xfId="0" applyFont="1" applyFill="1" applyBorder="1" applyAlignment="1">
      <alignment horizontal="center" vertical="center"/>
    </xf>
    <xf numFmtId="0" fontId="156" fillId="0" borderId="35" xfId="0" applyFont="1" applyFill="1" applyBorder="1" applyAlignment="1">
      <alignment horizontal="center" vertical="center"/>
    </xf>
    <xf numFmtId="0" fontId="156" fillId="0" borderId="34" xfId="0" applyFont="1" applyFill="1" applyBorder="1" applyAlignment="1">
      <alignment horizontal="center" vertical="center"/>
    </xf>
    <xf numFmtId="0" fontId="153" fillId="0" borderId="32" xfId="0" applyFont="1" applyBorder="1"/>
    <xf numFmtId="177" fontId="153" fillId="0" borderId="39" xfId="0" applyNumberFormat="1" applyFont="1" applyBorder="1" applyAlignment="1">
      <alignment horizontal="center" vertical="center"/>
    </xf>
    <xf numFmtId="177" fontId="153" fillId="0" borderId="35" xfId="0" applyNumberFormat="1" applyFont="1" applyBorder="1" applyAlignment="1">
      <alignment horizontal="center" vertical="center"/>
    </xf>
    <xf numFmtId="0" fontId="2" fillId="13" borderId="5" xfId="0" applyFont="1" applyFill="1" applyBorder="1" applyAlignment="1">
      <alignment horizontal="center"/>
    </xf>
    <xf numFmtId="0" fontId="99" fillId="0" borderId="117" xfId="63" applyFont="1" applyFill="1" applyBorder="1" applyAlignment="1">
      <alignment horizontal="center" vertical="center"/>
    </xf>
    <xf numFmtId="0" fontId="99" fillId="0" borderId="3" xfId="63" applyFont="1" applyFill="1" applyBorder="1" applyAlignment="1">
      <alignment horizontal="center" vertical="center"/>
    </xf>
    <xf numFmtId="0" fontId="17" fillId="0" borderId="117" xfId="64" applyFont="1" applyFill="1" applyBorder="1" applyAlignment="1">
      <alignment horizontal="center" vertical="center"/>
    </xf>
    <xf numFmtId="0" fontId="99" fillId="0" borderId="3" xfId="64" applyFont="1" applyFill="1" applyBorder="1" applyAlignment="1">
      <alignment horizontal="center" vertical="center"/>
    </xf>
    <xf numFmtId="0" fontId="17" fillId="0" borderId="3" xfId="64" applyFont="1" applyFill="1" applyBorder="1" applyAlignment="1">
      <alignment horizontal="center" vertical="center"/>
    </xf>
    <xf numFmtId="0" fontId="2" fillId="28" borderId="5" xfId="0" applyFont="1" applyFill="1" applyBorder="1" applyAlignment="1">
      <alignment horizontal="center"/>
    </xf>
    <xf numFmtId="0" fontId="157" fillId="0" borderId="9" xfId="0" applyFont="1" applyBorder="1"/>
    <xf numFmtId="0" fontId="158" fillId="0" borderId="9" xfId="0" applyFont="1" applyBorder="1"/>
    <xf numFmtId="0" fontId="159" fillId="0" borderId="9" xfId="0" applyFont="1" applyBorder="1"/>
    <xf numFmtId="0" fontId="160" fillId="0" borderId="9" xfId="0" applyFont="1" applyBorder="1"/>
    <xf numFmtId="0" fontId="157" fillId="0" borderId="9" xfId="0" applyFont="1" applyBorder="1" applyAlignment="1">
      <alignment horizontal="center" vertical="center"/>
    </xf>
    <xf numFmtId="0" fontId="158" fillId="0" borderId="9" xfId="0" applyFont="1" applyBorder="1" applyAlignment="1">
      <alignment horizontal="center" vertical="center"/>
    </xf>
    <xf numFmtId="0" fontId="161" fillId="0" borderId="9" xfId="0" applyFont="1" applyBorder="1" applyAlignment="1">
      <alignment horizontal="center" vertical="center"/>
    </xf>
    <xf numFmtId="0" fontId="159" fillId="0" borderId="9" xfId="0" applyFont="1" applyBorder="1" applyAlignment="1">
      <alignment horizontal="center" vertical="center"/>
    </xf>
    <xf numFmtId="0" fontId="160" fillId="0" borderId="9" xfId="0" applyFont="1" applyBorder="1" applyAlignment="1">
      <alignment horizontal="center" vertical="center"/>
    </xf>
    <xf numFmtId="177" fontId="157" fillId="0" borderId="9" xfId="0" applyNumberFormat="1" applyFont="1" applyBorder="1" applyAlignment="1">
      <alignment horizontal="center" vertical="center"/>
    </xf>
    <xf numFmtId="177" fontId="158" fillId="0" borderId="9" xfId="0" applyNumberFormat="1" applyFont="1" applyBorder="1" applyAlignment="1">
      <alignment horizontal="center" vertical="center"/>
    </xf>
    <xf numFmtId="177" fontId="161" fillId="0" borderId="9" xfId="0" applyNumberFormat="1" applyFont="1" applyBorder="1" applyAlignment="1">
      <alignment horizontal="center" vertical="center"/>
    </xf>
    <xf numFmtId="177" fontId="159" fillId="0" borderId="9" xfId="0" applyNumberFormat="1" applyFont="1" applyBorder="1" applyAlignment="1">
      <alignment horizontal="center" vertical="center"/>
    </xf>
    <xf numFmtId="177" fontId="160" fillId="0" borderId="9" xfId="0" applyNumberFormat="1" applyFont="1" applyBorder="1" applyAlignment="1">
      <alignment horizontal="center" vertical="center"/>
    </xf>
    <xf numFmtId="0" fontId="4" fillId="0" borderId="0" xfId="0" applyFont="1" applyFill="1"/>
    <xf numFmtId="0" fontId="4" fillId="0" borderId="17" xfId="0" applyFont="1" applyFill="1" applyBorder="1"/>
    <xf numFmtId="0" fontId="4" fillId="0" borderId="18" xfId="0" applyFont="1" applyFill="1" applyBorder="1"/>
    <xf numFmtId="0" fontId="159" fillId="0" borderId="3" xfId="0" applyFont="1" applyBorder="1"/>
    <xf numFmtId="0" fontId="159" fillId="0" borderId="3" xfId="0" applyFont="1" applyBorder="1" applyAlignment="1">
      <alignment horizontal="center" vertical="center"/>
    </xf>
    <xf numFmtId="177" fontId="161" fillId="0" borderId="3" xfId="0" applyNumberFormat="1" applyFont="1" applyBorder="1" applyAlignment="1">
      <alignment horizontal="center" vertical="center"/>
    </xf>
    <xf numFmtId="0" fontId="139" fillId="0" borderId="3" xfId="47" applyFont="1" applyFill="1" applyBorder="1" applyAlignment="1">
      <alignment horizontal="center"/>
    </xf>
    <xf numFmtId="177" fontId="162" fillId="0" borderId="39" xfId="0" applyNumberFormat="1" applyFont="1" applyBorder="1" applyAlignment="1">
      <alignment horizontal="center" vertical="center"/>
    </xf>
    <xf numFmtId="164" fontId="162" fillId="0" borderId="39" xfId="0" applyNumberFormat="1" applyFont="1" applyBorder="1" applyAlignment="1">
      <alignment horizontal="center" vertical="center"/>
    </xf>
    <xf numFmtId="177" fontId="162" fillId="12" borderId="39" xfId="0" applyNumberFormat="1" applyFont="1" applyFill="1" applyBorder="1" applyAlignment="1">
      <alignment horizontal="center" vertical="center"/>
    </xf>
    <xf numFmtId="0" fontId="162" fillId="0" borderId="34" xfId="0" applyFont="1" applyBorder="1" applyAlignment="1">
      <alignment horizontal="center" vertical="center"/>
    </xf>
    <xf numFmtId="177" fontId="162" fillId="0" borderId="35" xfId="0" applyNumberFormat="1" applyFont="1" applyBorder="1" applyAlignment="1">
      <alignment horizontal="center" vertical="center"/>
    </xf>
    <xf numFmtId="177" fontId="162" fillId="12" borderId="35" xfId="0" applyNumberFormat="1" applyFont="1" applyFill="1" applyBorder="1" applyAlignment="1">
      <alignment horizontal="center" vertical="center"/>
    </xf>
    <xf numFmtId="0" fontId="162" fillId="0" borderId="36" xfId="0" applyFont="1" applyBorder="1" applyAlignment="1">
      <alignment horizontal="center" vertical="center"/>
    </xf>
    <xf numFmtId="177" fontId="162" fillId="0" borderId="54" xfId="0" applyNumberFormat="1" applyFont="1" applyBorder="1" applyAlignment="1">
      <alignment horizontal="center" vertical="center"/>
    </xf>
    <xf numFmtId="177" fontId="162" fillId="0" borderId="53" xfId="0" applyNumberFormat="1" applyFont="1" applyBorder="1" applyAlignment="1">
      <alignment horizontal="center" vertical="center"/>
    </xf>
    <xf numFmtId="164" fontId="162" fillId="0" borderId="53" xfId="0" applyNumberFormat="1" applyFont="1" applyBorder="1" applyAlignment="1">
      <alignment horizontal="center" vertical="center"/>
    </xf>
    <xf numFmtId="177" fontId="162" fillId="12" borderId="54" xfId="0" applyNumberFormat="1" applyFont="1" applyFill="1" applyBorder="1" applyAlignment="1">
      <alignment horizontal="center" vertical="center"/>
    </xf>
    <xf numFmtId="164" fontId="149" fillId="0" borderId="39" xfId="0" applyNumberFormat="1" applyFont="1" applyBorder="1" applyAlignment="1">
      <alignment horizontal="center" vertical="center"/>
    </xf>
    <xf numFmtId="177" fontId="149" fillId="12" borderId="38" xfId="0" applyNumberFormat="1" applyFont="1" applyFill="1" applyBorder="1" applyAlignment="1">
      <alignment horizontal="center" vertical="center"/>
    </xf>
    <xf numFmtId="177" fontId="149" fillId="0" borderId="48" xfId="0" applyNumberFormat="1" applyFont="1" applyBorder="1" applyAlignment="1">
      <alignment horizontal="center" vertical="center"/>
    </xf>
    <xf numFmtId="0" fontId="149" fillId="0" borderId="34" xfId="0" applyFont="1" applyBorder="1" applyAlignment="1">
      <alignment horizontal="center" vertical="center"/>
    </xf>
    <xf numFmtId="177" fontId="149" fillId="12" borderId="34" xfId="0" applyNumberFormat="1" applyFont="1" applyFill="1" applyBorder="1" applyAlignment="1">
      <alignment horizontal="center" vertical="center"/>
    </xf>
    <xf numFmtId="177" fontId="149" fillId="0" borderId="49" xfId="0" applyNumberFormat="1" applyFont="1" applyBorder="1" applyAlignment="1">
      <alignment horizontal="center" vertical="center"/>
    </xf>
    <xf numFmtId="0" fontId="149" fillId="0" borderId="36" xfId="0" applyFont="1" applyBorder="1" applyAlignment="1">
      <alignment horizontal="center" vertical="center"/>
    </xf>
    <xf numFmtId="177" fontId="149" fillId="0" borderId="54" xfId="0" applyNumberFormat="1" applyFont="1" applyBorder="1" applyAlignment="1">
      <alignment horizontal="center" vertical="center"/>
    </xf>
    <xf numFmtId="177" fontId="149" fillId="0" borderId="53" xfId="0" applyNumberFormat="1" applyFont="1" applyBorder="1" applyAlignment="1">
      <alignment horizontal="center" vertical="center"/>
    </xf>
    <xf numFmtId="164" fontId="149" fillId="0" borderId="53" xfId="0" applyNumberFormat="1" applyFont="1" applyBorder="1" applyAlignment="1">
      <alignment horizontal="center" vertical="center"/>
    </xf>
    <xf numFmtId="177" fontId="149" fillId="12" borderId="36" xfId="0" applyNumberFormat="1" applyFont="1" applyFill="1" applyBorder="1" applyAlignment="1">
      <alignment horizontal="center" vertical="center"/>
    </xf>
    <xf numFmtId="177" fontId="163" fillId="0" borderId="39" xfId="0" applyNumberFormat="1" applyFont="1" applyBorder="1" applyAlignment="1">
      <alignment horizontal="center" vertical="center"/>
    </xf>
    <xf numFmtId="164" fontId="163" fillId="0" borderId="39" xfId="0" applyNumberFormat="1" applyFont="1" applyBorder="1" applyAlignment="1">
      <alignment horizontal="center" vertical="center"/>
    </xf>
    <xf numFmtId="177" fontId="163" fillId="12" borderId="38" xfId="0" applyNumberFormat="1" applyFont="1" applyFill="1" applyBorder="1" applyAlignment="1">
      <alignment horizontal="center" vertical="center"/>
    </xf>
    <xf numFmtId="0" fontId="163" fillId="0" borderId="34" xfId="0" applyFont="1" applyBorder="1" applyAlignment="1">
      <alignment horizontal="center" vertical="center"/>
    </xf>
    <xf numFmtId="177" fontId="163" fillId="0" borderId="35" xfId="0" applyNumberFormat="1" applyFont="1" applyBorder="1" applyAlignment="1">
      <alignment horizontal="center" vertical="center"/>
    </xf>
    <xf numFmtId="177" fontId="163" fillId="12" borderId="34" xfId="0" applyNumberFormat="1" applyFont="1" applyFill="1" applyBorder="1" applyAlignment="1">
      <alignment horizontal="center" vertical="center"/>
    </xf>
    <xf numFmtId="0" fontId="163" fillId="0" borderId="36" xfId="0" applyFont="1" applyBorder="1" applyAlignment="1">
      <alignment horizontal="center" vertical="center"/>
    </xf>
    <xf numFmtId="177" fontId="163" fillId="0" borderId="54" xfId="0" applyNumberFormat="1" applyFont="1" applyBorder="1" applyAlignment="1">
      <alignment horizontal="center" vertical="center"/>
    </xf>
    <xf numFmtId="177" fontId="163" fillId="0" borderId="53" xfId="0" applyNumberFormat="1" applyFont="1" applyBorder="1" applyAlignment="1">
      <alignment horizontal="center" vertical="center"/>
    </xf>
    <xf numFmtId="164" fontId="163" fillId="0" borderId="53" xfId="0" applyNumberFormat="1" applyFont="1" applyBorder="1" applyAlignment="1">
      <alignment horizontal="center" vertical="center"/>
    </xf>
    <xf numFmtId="177" fontId="163" fillId="12" borderId="36" xfId="0" applyNumberFormat="1" applyFont="1" applyFill="1" applyBorder="1" applyAlignment="1">
      <alignment horizontal="center" vertical="center"/>
    </xf>
    <xf numFmtId="177" fontId="164" fillId="0" borderId="39" xfId="0" applyNumberFormat="1" applyFont="1" applyBorder="1" applyAlignment="1">
      <alignment horizontal="center" vertical="center"/>
    </xf>
    <xf numFmtId="164" fontId="164" fillId="0" borderId="39" xfId="0" applyNumberFormat="1" applyFont="1" applyBorder="1" applyAlignment="1">
      <alignment horizontal="center" vertical="center"/>
    </xf>
    <xf numFmtId="177" fontId="164" fillId="12" borderId="38" xfId="0" applyNumberFormat="1" applyFont="1" applyFill="1" applyBorder="1" applyAlignment="1">
      <alignment horizontal="center" vertical="center"/>
    </xf>
    <xf numFmtId="0" fontId="164" fillId="0" borderId="34" xfId="0" applyFont="1" applyBorder="1" applyAlignment="1">
      <alignment horizontal="center" vertical="center"/>
    </xf>
    <xf numFmtId="177" fontId="164" fillId="0" borderId="35" xfId="0" applyNumberFormat="1" applyFont="1" applyBorder="1" applyAlignment="1">
      <alignment horizontal="center" vertical="center"/>
    </xf>
    <xf numFmtId="177" fontId="164" fillId="12" borderId="34" xfId="0" applyNumberFormat="1" applyFont="1" applyFill="1" applyBorder="1" applyAlignment="1">
      <alignment horizontal="center" vertical="center"/>
    </xf>
    <xf numFmtId="177" fontId="164" fillId="9" borderId="35" xfId="0" applyNumberFormat="1" applyFont="1" applyFill="1" applyBorder="1" applyAlignment="1">
      <alignment horizontal="center" vertical="center"/>
    </xf>
    <xf numFmtId="0" fontId="164" fillId="0" borderId="36" xfId="0" applyFont="1" applyBorder="1" applyAlignment="1">
      <alignment horizontal="center" vertical="center"/>
    </xf>
    <xf numFmtId="177" fontId="164" fillId="0" borderId="54" xfId="0" applyNumberFormat="1" applyFont="1" applyBorder="1" applyAlignment="1">
      <alignment horizontal="center" vertical="center"/>
    </xf>
    <xf numFmtId="177" fontId="164" fillId="0" borderId="53" xfId="0" applyNumberFormat="1" applyFont="1" applyBorder="1" applyAlignment="1">
      <alignment horizontal="center" vertical="center"/>
    </xf>
    <xf numFmtId="164" fontId="164" fillId="0" borderId="53" xfId="0" applyNumberFormat="1" applyFont="1" applyBorder="1" applyAlignment="1">
      <alignment horizontal="center" vertical="center"/>
    </xf>
    <xf numFmtId="177" fontId="164" fillId="12" borderId="36" xfId="0" applyNumberFormat="1" applyFont="1" applyFill="1" applyBorder="1" applyAlignment="1">
      <alignment horizontal="center" vertical="center"/>
    </xf>
    <xf numFmtId="177" fontId="164" fillId="9" borderId="36" xfId="0" applyNumberFormat="1" applyFont="1" applyFill="1" applyBorder="1" applyAlignment="1">
      <alignment horizontal="center" vertical="center"/>
    </xf>
    <xf numFmtId="177" fontId="164" fillId="9" borderId="39" xfId="0" applyNumberFormat="1" applyFont="1" applyFill="1" applyBorder="1" applyAlignment="1">
      <alignment horizontal="center" vertical="center"/>
    </xf>
    <xf numFmtId="177" fontId="165" fillId="0" borderId="39" xfId="0" applyNumberFormat="1" applyFont="1" applyBorder="1" applyAlignment="1">
      <alignment horizontal="center" vertical="center"/>
    </xf>
    <xf numFmtId="164" fontId="165" fillId="0" borderId="39" xfId="0" applyNumberFormat="1" applyFont="1" applyBorder="1" applyAlignment="1">
      <alignment horizontal="center" vertical="center"/>
    </xf>
    <xf numFmtId="177" fontId="165" fillId="12" borderId="38" xfId="0" applyNumberFormat="1" applyFont="1" applyFill="1" applyBorder="1" applyAlignment="1">
      <alignment horizontal="center" vertical="center"/>
    </xf>
    <xf numFmtId="0" fontId="165" fillId="0" borderId="34" xfId="0" applyFont="1" applyBorder="1" applyAlignment="1">
      <alignment horizontal="center" vertical="center"/>
    </xf>
    <xf numFmtId="177" fontId="165" fillId="0" borderId="35" xfId="0" applyNumberFormat="1" applyFont="1" applyBorder="1" applyAlignment="1">
      <alignment horizontal="center" vertical="center"/>
    </xf>
    <xf numFmtId="177" fontId="165" fillId="12" borderId="34" xfId="0" applyNumberFormat="1" applyFont="1" applyFill="1" applyBorder="1" applyAlignment="1">
      <alignment horizontal="center" vertical="center"/>
    </xf>
    <xf numFmtId="177" fontId="165" fillId="9" borderId="35" xfId="0" applyNumberFormat="1" applyFont="1" applyFill="1" applyBorder="1" applyAlignment="1">
      <alignment horizontal="center" vertical="center"/>
    </xf>
    <xf numFmtId="0" fontId="165" fillId="0" borderId="36" xfId="0" applyFont="1" applyBorder="1" applyAlignment="1">
      <alignment horizontal="center" vertical="center"/>
    </xf>
    <xf numFmtId="177" fontId="165" fillId="0" borderId="54" xfId="0" applyNumberFormat="1" applyFont="1" applyBorder="1" applyAlignment="1">
      <alignment horizontal="center" vertical="center"/>
    </xf>
    <xf numFmtId="177" fontId="165" fillId="0" borderId="53" xfId="0" applyNumberFormat="1" applyFont="1" applyBorder="1" applyAlignment="1">
      <alignment horizontal="center" vertical="center"/>
    </xf>
    <xf numFmtId="164" fontId="165" fillId="0" borderId="53" xfId="0" applyNumberFormat="1" applyFont="1" applyBorder="1" applyAlignment="1">
      <alignment horizontal="center" vertical="center"/>
    </xf>
    <xf numFmtId="177" fontId="165" fillId="12" borderId="36" xfId="0" applyNumberFormat="1" applyFont="1" applyFill="1" applyBorder="1" applyAlignment="1">
      <alignment horizontal="center" vertical="center"/>
    </xf>
    <xf numFmtId="177" fontId="165" fillId="9" borderId="54" xfId="0" applyNumberFormat="1" applyFont="1" applyFill="1" applyBorder="1" applyAlignment="1">
      <alignment horizontal="center" vertical="center"/>
    </xf>
    <xf numFmtId="0" fontId="166" fillId="32" borderId="118" xfId="0" applyFont="1" applyFill="1" applyBorder="1" applyAlignment="1">
      <alignment horizontal="left" vertical="center" textRotation="90"/>
    </xf>
    <xf numFmtId="0" fontId="167" fillId="32" borderId="118" xfId="0" applyFont="1" applyFill="1" applyBorder="1" applyAlignment="1">
      <alignment horizontal="left" vertical="center" textRotation="90"/>
    </xf>
    <xf numFmtId="0" fontId="165" fillId="32" borderId="11" xfId="0" applyFont="1" applyFill="1" applyBorder="1" applyAlignment="1">
      <alignment horizontal="center" vertical="center"/>
    </xf>
    <xf numFmtId="177" fontId="165" fillId="32" borderId="11" xfId="0" applyNumberFormat="1" applyFont="1" applyFill="1" applyBorder="1" applyAlignment="1">
      <alignment horizontal="center" vertical="center"/>
    </xf>
    <xf numFmtId="177" fontId="165" fillId="32" borderId="37" xfId="0" applyNumberFormat="1" applyFont="1" applyFill="1" applyBorder="1" applyAlignment="1">
      <alignment horizontal="center" vertical="center"/>
    </xf>
    <xf numFmtId="177" fontId="98" fillId="32" borderId="37" xfId="0" applyNumberFormat="1" applyFont="1" applyFill="1" applyBorder="1" applyAlignment="1">
      <alignment horizontal="right" vertical="center"/>
    </xf>
    <xf numFmtId="0" fontId="167" fillId="32" borderId="11" xfId="0" applyFont="1" applyFill="1" applyBorder="1" applyAlignment="1">
      <alignment horizontal="left" vertical="center" textRotation="90"/>
    </xf>
    <xf numFmtId="164" fontId="165" fillId="32" borderId="11" xfId="0" applyNumberFormat="1" applyFont="1" applyFill="1" applyBorder="1" applyAlignment="1">
      <alignment horizontal="center" vertical="center"/>
    </xf>
    <xf numFmtId="177" fontId="98" fillId="32" borderId="48" xfId="0" applyNumberFormat="1" applyFont="1" applyFill="1" applyBorder="1" applyAlignment="1">
      <alignment horizontal="right" vertical="center"/>
    </xf>
    <xf numFmtId="0" fontId="167" fillId="32" borderId="119" xfId="0" applyFont="1" applyFill="1" applyBorder="1" applyAlignment="1">
      <alignment horizontal="left" vertical="center" textRotation="90"/>
    </xf>
    <xf numFmtId="0" fontId="164" fillId="32" borderId="11" xfId="0" applyFont="1" applyFill="1" applyBorder="1" applyAlignment="1">
      <alignment horizontal="center" vertical="center"/>
    </xf>
    <xf numFmtId="0" fontId="164" fillId="32" borderId="37" xfId="0" applyFont="1" applyFill="1" applyBorder="1" applyAlignment="1">
      <alignment horizontal="center" vertical="center"/>
    </xf>
    <xf numFmtId="177" fontId="164" fillId="32" borderId="11" xfId="0" applyNumberFormat="1" applyFont="1" applyFill="1" applyBorder="1" applyAlignment="1">
      <alignment horizontal="center" vertical="center"/>
    </xf>
    <xf numFmtId="177" fontId="164" fillId="32" borderId="37" xfId="0" applyNumberFormat="1" applyFont="1" applyFill="1" applyBorder="1" applyAlignment="1">
      <alignment horizontal="center" vertical="center"/>
    </xf>
    <xf numFmtId="164" fontId="164" fillId="32" borderId="37" xfId="0" applyNumberFormat="1" applyFont="1" applyFill="1" applyBorder="1" applyAlignment="1">
      <alignment horizontal="center" vertical="center"/>
    </xf>
    <xf numFmtId="177" fontId="164" fillId="32" borderId="53" xfId="0" applyNumberFormat="1" applyFont="1" applyFill="1" applyBorder="1" applyAlignment="1">
      <alignment horizontal="center" vertical="center"/>
    </xf>
    <xf numFmtId="0" fontId="167" fillId="32" borderId="37" xfId="0" applyFont="1" applyFill="1" applyBorder="1" applyAlignment="1">
      <alignment horizontal="left" vertical="center" textRotation="90"/>
    </xf>
    <xf numFmtId="177" fontId="164" fillId="32" borderId="52" xfId="0" applyNumberFormat="1" applyFont="1" applyFill="1" applyBorder="1" applyAlignment="1">
      <alignment horizontal="center" vertical="center"/>
    </xf>
    <xf numFmtId="0" fontId="163" fillId="32" borderId="37" xfId="0" applyFont="1" applyFill="1" applyBorder="1" applyAlignment="1">
      <alignment horizontal="center" vertical="center"/>
    </xf>
    <xf numFmtId="0" fontId="163" fillId="32" borderId="11" xfId="0" applyFont="1" applyFill="1" applyBorder="1" applyAlignment="1">
      <alignment horizontal="center" vertical="center"/>
    </xf>
    <xf numFmtId="177" fontId="163" fillId="32" borderId="11" xfId="0" applyNumberFormat="1" applyFont="1" applyFill="1" applyBorder="1" applyAlignment="1">
      <alignment horizontal="center" vertical="center"/>
    </xf>
    <xf numFmtId="177" fontId="163" fillId="32" borderId="37" xfId="0" applyNumberFormat="1" applyFont="1" applyFill="1" applyBorder="1" applyAlignment="1">
      <alignment horizontal="center" vertical="center"/>
    </xf>
    <xf numFmtId="164" fontId="163" fillId="32" borderId="37" xfId="0" applyNumberFormat="1" applyFont="1" applyFill="1" applyBorder="1" applyAlignment="1">
      <alignment horizontal="center" vertical="center"/>
    </xf>
    <xf numFmtId="177" fontId="163" fillId="32" borderId="53" xfId="0" applyNumberFormat="1" applyFont="1" applyFill="1" applyBorder="1" applyAlignment="1">
      <alignment horizontal="center" vertical="center"/>
    </xf>
    <xf numFmtId="0" fontId="168" fillId="32" borderId="119" xfId="0" applyFont="1" applyFill="1" applyBorder="1" applyAlignment="1">
      <alignment horizontal="left" vertical="center" textRotation="90"/>
    </xf>
    <xf numFmtId="0" fontId="149" fillId="32" borderId="11" xfId="0" applyFont="1" applyFill="1" applyBorder="1" applyAlignment="1">
      <alignment horizontal="center" vertical="center"/>
    </xf>
    <xf numFmtId="0" fontId="149" fillId="32" borderId="37" xfId="0" applyFont="1" applyFill="1" applyBorder="1" applyAlignment="1">
      <alignment horizontal="center" vertical="center"/>
    </xf>
    <xf numFmtId="177" fontId="149" fillId="32" borderId="11" xfId="0" applyNumberFormat="1" applyFont="1" applyFill="1" applyBorder="1" applyAlignment="1">
      <alignment horizontal="center" vertical="center"/>
    </xf>
    <xf numFmtId="177" fontId="149" fillId="32" borderId="37" xfId="0" applyNumberFormat="1" applyFont="1" applyFill="1" applyBorder="1" applyAlignment="1">
      <alignment horizontal="center" vertical="center"/>
    </xf>
    <xf numFmtId="177" fontId="149" fillId="32" borderId="37" xfId="0" applyNumberFormat="1" applyFont="1" applyFill="1" applyBorder="1" applyAlignment="1">
      <alignment horizontal="right" vertical="center"/>
    </xf>
    <xf numFmtId="0" fontId="168" fillId="32" borderId="11" xfId="0" applyFont="1" applyFill="1" applyBorder="1" applyAlignment="1">
      <alignment horizontal="left" vertical="center" textRotation="90"/>
    </xf>
    <xf numFmtId="177" fontId="149" fillId="32" borderId="53" xfId="0" applyNumberFormat="1" applyFont="1" applyFill="1" applyBorder="1" applyAlignment="1">
      <alignment horizontal="center" vertical="center"/>
    </xf>
    <xf numFmtId="177" fontId="149" fillId="32" borderId="48" xfId="0" applyNumberFormat="1" applyFont="1" applyFill="1" applyBorder="1" applyAlignment="1">
      <alignment horizontal="right" vertical="center"/>
    </xf>
    <xf numFmtId="0" fontId="162" fillId="32" borderId="11" xfId="0" applyFont="1" applyFill="1" applyBorder="1" applyAlignment="1">
      <alignment horizontal="center" vertical="center"/>
    </xf>
    <xf numFmtId="0" fontId="162" fillId="32" borderId="37" xfId="0" applyFont="1" applyFill="1" applyBorder="1" applyAlignment="1">
      <alignment horizontal="center" vertical="center"/>
    </xf>
    <xf numFmtId="177" fontId="162" fillId="32" borderId="37" xfId="0" applyNumberFormat="1" applyFont="1" applyFill="1" applyBorder="1" applyAlignment="1">
      <alignment horizontal="center" vertical="center"/>
    </xf>
    <xf numFmtId="177" fontId="162" fillId="32" borderId="53" xfId="0" applyNumberFormat="1" applyFont="1" applyFill="1" applyBorder="1" applyAlignment="1">
      <alignment horizontal="center" vertical="center"/>
    </xf>
    <xf numFmtId="0" fontId="162" fillId="0" borderId="48" xfId="0" applyFont="1" applyBorder="1" applyAlignment="1">
      <alignment horizontal="left" vertical="center"/>
    </xf>
    <xf numFmtId="0" fontId="162" fillId="0" borderId="49" xfId="0" applyFont="1" applyBorder="1" applyAlignment="1">
      <alignment horizontal="left" vertical="center"/>
    </xf>
    <xf numFmtId="0" fontId="162" fillId="0" borderId="81" xfId="0" applyFont="1" applyBorder="1" applyAlignment="1">
      <alignment horizontal="left" vertical="center"/>
    </xf>
    <xf numFmtId="0" fontId="149" fillId="0" borderId="48" xfId="0" applyFont="1" applyBorder="1" applyAlignment="1">
      <alignment horizontal="left" vertical="center"/>
    </xf>
    <xf numFmtId="0" fontId="149" fillId="0" borderId="49" xfId="0" applyFont="1" applyBorder="1" applyAlignment="1">
      <alignment horizontal="left" vertical="center"/>
    </xf>
    <xf numFmtId="0" fontId="149" fillId="0" borderId="81" xfId="0" applyFont="1" applyBorder="1" applyAlignment="1">
      <alignment horizontal="left" vertical="center"/>
    </xf>
    <xf numFmtId="0" fontId="163" fillId="0" borderId="48" xfId="0" applyFont="1" applyBorder="1" applyAlignment="1">
      <alignment horizontal="left" vertical="center"/>
    </xf>
    <xf numFmtId="0" fontId="163" fillId="0" borderId="49" xfId="0" applyFont="1" applyBorder="1" applyAlignment="1">
      <alignment horizontal="left" vertical="center"/>
    </xf>
    <xf numFmtId="0" fontId="163" fillId="0" borderId="81" xfId="0" applyFont="1" applyBorder="1" applyAlignment="1">
      <alignment horizontal="left" vertical="center"/>
    </xf>
    <xf numFmtId="0" fontId="162" fillId="0" borderId="32" xfId="0" applyFont="1" applyBorder="1" applyAlignment="1">
      <alignment horizontal="center" vertical="center"/>
    </xf>
    <xf numFmtId="0" fontId="149" fillId="0" borderId="32" xfId="0" applyFont="1" applyBorder="1" applyAlignment="1">
      <alignment horizontal="center" vertical="center"/>
    </xf>
    <xf numFmtId="0" fontId="163" fillId="0" borderId="32" xfId="0" applyFont="1" applyBorder="1" applyAlignment="1">
      <alignment horizontal="center" vertical="center"/>
    </xf>
    <xf numFmtId="0" fontId="164" fillId="0" borderId="120" xfId="0" applyFont="1" applyBorder="1" applyAlignment="1">
      <alignment horizontal="left" vertical="center"/>
    </xf>
    <xf numFmtId="0" fontId="164" fillId="0" borderId="49" xfId="0" applyFont="1" applyBorder="1" applyAlignment="1">
      <alignment horizontal="left" vertical="center"/>
    </xf>
    <xf numFmtId="0" fontId="164" fillId="0" borderId="81" xfId="0" applyFont="1" applyBorder="1" applyAlignment="1">
      <alignment horizontal="left" vertical="center"/>
    </xf>
    <xf numFmtId="0" fontId="164" fillId="0" borderId="48" xfId="0" applyFont="1" applyBorder="1" applyAlignment="1">
      <alignment horizontal="left" vertical="center"/>
    </xf>
    <xf numFmtId="0" fontId="165" fillId="0" borderId="48" xfId="0" applyFont="1" applyBorder="1" applyAlignment="1">
      <alignment horizontal="left" vertical="center"/>
    </xf>
    <xf numFmtId="0" fontId="165" fillId="0" borderId="49" xfId="0" applyFont="1" applyBorder="1" applyAlignment="1">
      <alignment horizontal="left" vertical="center"/>
    </xf>
    <xf numFmtId="0" fontId="165" fillId="0" borderId="81" xfId="0" applyFont="1" applyBorder="1" applyAlignment="1">
      <alignment horizontal="left" vertical="center"/>
    </xf>
    <xf numFmtId="0" fontId="164" fillId="0" borderId="32" xfId="0" applyFont="1" applyBorder="1" applyAlignment="1">
      <alignment horizontal="center" vertical="center"/>
    </xf>
    <xf numFmtId="0" fontId="165" fillId="0" borderId="32" xfId="0" applyFont="1" applyBorder="1" applyAlignment="1">
      <alignment horizontal="center" vertical="center"/>
    </xf>
    <xf numFmtId="177" fontId="165" fillId="9" borderId="82" xfId="0" applyNumberFormat="1" applyFont="1" applyFill="1" applyBorder="1" applyAlignment="1">
      <alignment horizontal="center" vertical="center"/>
    </xf>
    <xf numFmtId="177" fontId="165" fillId="9" borderId="49" xfId="0" applyNumberFormat="1" applyFont="1" applyFill="1" applyBorder="1" applyAlignment="1">
      <alignment horizontal="center" vertical="center"/>
    </xf>
    <xf numFmtId="177" fontId="165" fillId="0" borderId="81" xfId="0" applyNumberFormat="1" applyFont="1" applyBorder="1" applyAlignment="1">
      <alignment horizontal="center" vertical="center"/>
    </xf>
    <xf numFmtId="177" fontId="98" fillId="32" borderId="83" xfId="0" applyNumberFormat="1" applyFont="1" applyFill="1" applyBorder="1" applyAlignment="1">
      <alignment horizontal="right" vertical="center"/>
    </xf>
    <xf numFmtId="177" fontId="98" fillId="9" borderId="84" xfId="0" applyNumberFormat="1" applyFont="1" applyFill="1" applyBorder="1" applyAlignment="1">
      <alignment horizontal="center" vertical="center"/>
    </xf>
    <xf numFmtId="177" fontId="98" fillId="9" borderId="83" xfId="0" applyNumberFormat="1" applyFont="1" applyFill="1" applyBorder="1" applyAlignment="1">
      <alignment horizontal="center" vertical="center"/>
    </xf>
    <xf numFmtId="177" fontId="98" fillId="0" borderId="83" xfId="0" applyNumberFormat="1" applyFont="1" applyBorder="1" applyAlignment="1">
      <alignment horizontal="center" vertical="center"/>
    </xf>
    <xf numFmtId="177" fontId="98" fillId="32" borderId="85" xfId="0" applyNumberFormat="1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17" fillId="0" borderId="3" xfId="0" applyFont="1" applyFill="1" applyBorder="1" applyAlignment="1">
      <alignment vertical="center"/>
    </xf>
    <xf numFmtId="0" fontId="0" fillId="0" borderId="3" xfId="0" applyFill="1" applyBorder="1" applyAlignment="1">
      <alignment horizontal="center" vertical="center"/>
    </xf>
    <xf numFmtId="0" fontId="17" fillId="0" borderId="3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2" fillId="0" borderId="0" xfId="1" applyFont="1" applyFill="1" applyAlignment="1" applyProtection="1">
      <alignment horizontal="center" vertical="center"/>
    </xf>
    <xf numFmtId="0" fontId="157" fillId="0" borderId="9" xfId="0" applyFont="1" applyBorder="1" applyAlignment="1">
      <alignment horizontal="left"/>
    </xf>
    <xf numFmtId="0" fontId="157" fillId="0" borderId="3" xfId="0" applyFont="1" applyBorder="1" applyAlignment="1">
      <alignment horizontal="left"/>
    </xf>
    <xf numFmtId="0" fontId="160" fillId="0" borderId="3" xfId="47" applyFont="1" applyFill="1" applyBorder="1"/>
    <xf numFmtId="0" fontId="160" fillId="0" borderId="3" xfId="47" applyFont="1" applyBorder="1"/>
    <xf numFmtId="0" fontId="160" fillId="0" borderId="3" xfId="47" applyFont="1" applyFill="1" applyBorder="1" applyAlignment="1">
      <alignment horizontal="center"/>
    </xf>
    <xf numFmtId="0" fontId="157" fillId="0" borderId="3" xfId="47" applyFont="1" applyFill="1" applyBorder="1" applyAlignment="1">
      <alignment horizontal="center"/>
    </xf>
    <xf numFmtId="177" fontId="169" fillId="0" borderId="39" xfId="0" applyNumberFormat="1" applyFont="1" applyBorder="1" applyAlignment="1">
      <alignment horizontal="center" vertical="center"/>
    </xf>
    <xf numFmtId="177" fontId="169" fillId="0" borderId="35" xfId="0" applyNumberFormat="1" applyFont="1" applyBorder="1" applyAlignment="1">
      <alignment horizontal="center" vertical="center"/>
    </xf>
    <xf numFmtId="0" fontId="169" fillId="0" borderId="32" xfId="0" applyFont="1" applyBorder="1" applyAlignment="1">
      <alignment horizontal="center" vertical="center"/>
    </xf>
    <xf numFmtId="177" fontId="169" fillId="0" borderId="36" xfId="0" applyNumberFormat="1" applyFont="1" applyBorder="1" applyAlignment="1">
      <alignment horizontal="center" vertical="center"/>
    </xf>
    <xf numFmtId="177" fontId="98" fillId="12" borderId="36" xfId="0" applyNumberFormat="1" applyFont="1" applyFill="1" applyBorder="1" applyAlignment="1">
      <alignment horizontal="center" vertical="center"/>
    </xf>
    <xf numFmtId="177" fontId="98" fillId="9" borderId="54" xfId="0" applyNumberFormat="1" applyFont="1" applyFill="1" applyBorder="1" applyAlignment="1">
      <alignment horizontal="center" vertical="center"/>
    </xf>
    <xf numFmtId="177" fontId="169" fillId="12" borderId="53" xfId="0" applyNumberFormat="1" applyFont="1" applyFill="1" applyBorder="1" applyAlignment="1">
      <alignment horizontal="center" vertical="center"/>
    </xf>
    <xf numFmtId="0" fontId="170" fillId="0" borderId="3" xfId="47" applyFont="1" applyFill="1" applyBorder="1"/>
    <xf numFmtId="0" fontId="171" fillId="0" borderId="3" xfId="0" applyFont="1" applyBorder="1" applyAlignment="1">
      <alignment horizontal="center" vertical="center"/>
    </xf>
    <xf numFmtId="0" fontId="171" fillId="0" borderId="117" xfId="0" applyFont="1" applyBorder="1" applyAlignment="1">
      <alignment horizontal="center" vertical="center"/>
    </xf>
    <xf numFmtId="0" fontId="21" fillId="0" borderId="3" xfId="0" applyFont="1" applyFill="1" applyBorder="1" applyAlignment="1">
      <alignment horizontal="center"/>
    </xf>
    <xf numFmtId="0" fontId="17" fillId="0" borderId="117" xfId="0" applyFont="1" applyBorder="1" applyAlignment="1">
      <alignment horizontal="center" vertical="center"/>
    </xf>
    <xf numFmtId="0" fontId="120" fillId="12" borderId="3" xfId="0" applyFont="1" applyFill="1" applyBorder="1"/>
    <xf numFmtId="0" fontId="2" fillId="0" borderId="29" xfId="0" applyFont="1" applyFill="1" applyBorder="1" applyAlignment="1">
      <alignment horizontal="center"/>
    </xf>
    <xf numFmtId="0" fontId="96" fillId="10" borderId="6" xfId="0" applyFont="1" applyFill="1" applyBorder="1" applyAlignment="1">
      <alignment horizontal="center"/>
    </xf>
    <xf numFmtId="0" fontId="96" fillId="10" borderId="8" xfId="0" applyFont="1" applyFill="1" applyBorder="1" applyAlignment="1">
      <alignment horizontal="center"/>
    </xf>
    <xf numFmtId="0" fontId="146" fillId="27" borderId="6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96" fillId="10" borderId="22" xfId="0" applyFont="1" applyFill="1" applyBorder="1" applyAlignment="1">
      <alignment horizontal="center"/>
    </xf>
    <xf numFmtId="0" fontId="146" fillId="27" borderId="16" xfId="0" applyFont="1" applyFill="1" applyBorder="1" applyAlignment="1">
      <alignment horizontal="center"/>
    </xf>
    <xf numFmtId="0" fontId="0" fillId="8" borderId="0" xfId="0" applyFill="1"/>
    <xf numFmtId="0" fontId="95" fillId="0" borderId="3" xfId="0" applyFont="1" applyBorder="1" applyAlignment="1">
      <alignment horizontal="left" vertical="center"/>
    </xf>
    <xf numFmtId="0" fontId="106" fillId="0" borderId="3" xfId="0" applyFont="1" applyBorder="1" applyAlignment="1">
      <alignment horizontal="left" vertical="center"/>
    </xf>
    <xf numFmtId="0" fontId="68" fillId="0" borderId="3" xfId="0" applyFont="1" applyBorder="1" applyAlignment="1">
      <alignment horizontal="center" vertical="center"/>
    </xf>
    <xf numFmtId="0" fontId="106" fillId="0" borderId="3" xfId="0" applyFont="1" applyBorder="1" applyAlignment="1">
      <alignment horizontal="center" vertical="center"/>
    </xf>
    <xf numFmtId="0" fontId="65" fillId="0" borderId="3" xfId="0" applyFont="1" applyBorder="1" applyAlignment="1">
      <alignment horizontal="left" vertical="center"/>
    </xf>
    <xf numFmtId="177" fontId="65" fillId="0" borderId="3" xfId="0" applyNumberFormat="1" applyFont="1" applyBorder="1" applyAlignment="1">
      <alignment horizontal="center" vertical="center"/>
    </xf>
    <xf numFmtId="0" fontId="65" fillId="0" borderId="9" xfId="0" applyFont="1" applyBorder="1" applyAlignment="1">
      <alignment horizontal="center" vertical="center"/>
    </xf>
    <xf numFmtId="0" fontId="64" fillId="0" borderId="3" xfId="0" applyFont="1" applyBorder="1" applyAlignment="1">
      <alignment horizontal="left" vertical="center"/>
    </xf>
    <xf numFmtId="0" fontId="72" fillId="0" borderId="3" xfId="0" applyFont="1" applyBorder="1" applyAlignment="1">
      <alignment horizontal="left" vertical="center"/>
    </xf>
    <xf numFmtId="0" fontId="67" fillId="0" borderId="9" xfId="0" applyFont="1" applyBorder="1" applyAlignment="1">
      <alignment horizontal="center" vertical="center"/>
    </xf>
    <xf numFmtId="0" fontId="68" fillId="0" borderId="9" xfId="0" applyFont="1" applyBorder="1" applyAlignment="1">
      <alignment horizontal="center" vertical="center"/>
    </xf>
    <xf numFmtId="0" fontId="72" fillId="0" borderId="9" xfId="0" applyFont="1" applyBorder="1" applyAlignment="1">
      <alignment horizontal="center" vertical="center"/>
    </xf>
    <xf numFmtId="0" fontId="64" fillId="0" borderId="9" xfId="0" applyFont="1" applyBorder="1" applyAlignment="1">
      <alignment horizontal="center" vertical="center"/>
    </xf>
    <xf numFmtId="177" fontId="67" fillId="0" borderId="9" xfId="0" applyNumberFormat="1" applyFont="1" applyBorder="1" applyAlignment="1">
      <alignment horizontal="center" vertical="center"/>
    </xf>
    <xf numFmtId="0" fontId="17" fillId="0" borderId="18" xfId="47" applyFill="1" applyBorder="1"/>
    <xf numFmtId="0" fontId="65" fillId="0" borderId="0" xfId="47" applyFont="1" applyFill="1"/>
    <xf numFmtId="0" fontId="65" fillId="0" borderId="18" xfId="47" applyFont="1" applyFill="1" applyBorder="1"/>
    <xf numFmtId="0" fontId="0" fillId="33" borderId="0" xfId="0" applyFill="1"/>
    <xf numFmtId="0" fontId="17" fillId="33" borderId="0" xfId="47" applyFill="1"/>
    <xf numFmtId="0" fontId="67" fillId="0" borderId="3" xfId="0" applyFont="1" applyBorder="1"/>
    <xf numFmtId="0" fontId="67" fillId="0" borderId="3" xfId="0" applyFont="1" applyBorder="1" applyAlignment="1">
      <alignment horizontal="center" vertical="center"/>
    </xf>
    <xf numFmtId="0" fontId="68" fillId="0" borderId="3" xfId="0" applyFont="1" applyBorder="1"/>
    <xf numFmtId="0" fontId="106" fillId="0" borderId="9" xfId="60" applyFont="1" applyBorder="1"/>
    <xf numFmtId="0" fontId="65" fillId="0" borderId="9" xfId="0" applyFont="1" applyBorder="1" applyAlignment="1">
      <alignment horizontal="left"/>
    </xf>
    <xf numFmtId="0" fontId="67" fillId="0" borderId="9" xfId="0" applyFont="1" applyBorder="1"/>
    <xf numFmtId="0" fontId="68" fillId="0" borderId="9" xfId="0" applyFont="1" applyBorder="1"/>
    <xf numFmtId="0" fontId="65" fillId="0" borderId="9" xfId="0" applyFont="1" applyBorder="1"/>
    <xf numFmtId="177" fontId="65" fillId="0" borderId="9" xfId="0" applyNumberFormat="1" applyFont="1" applyFill="1" applyBorder="1" applyAlignment="1">
      <alignment horizontal="center" vertical="center"/>
    </xf>
    <xf numFmtId="0" fontId="106" fillId="0" borderId="9" xfId="0" applyFont="1" applyBorder="1" applyAlignment="1">
      <alignment horizontal="left" vertical="center"/>
    </xf>
    <xf numFmtId="0" fontId="67" fillId="0" borderId="9" xfId="0" applyFont="1" applyBorder="1" applyAlignment="1">
      <alignment horizontal="left"/>
    </xf>
    <xf numFmtId="0" fontId="64" fillId="0" borderId="9" xfId="0" applyFont="1" applyBorder="1"/>
    <xf numFmtId="0" fontId="95" fillId="0" borderId="9" xfId="0" applyFont="1" applyBorder="1" applyAlignment="1">
      <alignment horizontal="left" vertical="center"/>
    </xf>
    <xf numFmtId="177" fontId="68" fillId="0" borderId="9" xfId="0" applyNumberFormat="1" applyFont="1" applyFill="1" applyBorder="1" applyAlignment="1">
      <alignment horizontal="center" vertical="center"/>
    </xf>
    <xf numFmtId="0" fontId="65" fillId="0" borderId="9" xfId="0" applyFont="1" applyFill="1" applyBorder="1" applyAlignment="1">
      <alignment horizontal="center" vertical="center"/>
    </xf>
    <xf numFmtId="0" fontId="64" fillId="0" borderId="9" xfId="0" applyFont="1" applyBorder="1" applyAlignment="1">
      <alignment horizontal="left" vertical="center"/>
    </xf>
    <xf numFmtId="0" fontId="65" fillId="0" borderId="9" xfId="0" applyFont="1" applyBorder="1" applyAlignment="1">
      <alignment horizontal="center"/>
    </xf>
    <xf numFmtId="0" fontId="65" fillId="0" borderId="9" xfId="0" applyFont="1" applyBorder="1" applyAlignment="1">
      <alignment horizontal="left" vertical="center"/>
    </xf>
    <xf numFmtId="0" fontId="64" fillId="0" borderId="9" xfId="0" applyFont="1" applyFill="1" applyBorder="1"/>
    <xf numFmtId="0" fontId="64" fillId="0" borderId="9" xfId="0" applyFont="1" applyFill="1" applyBorder="1" applyAlignment="1">
      <alignment horizontal="center" vertical="center"/>
    </xf>
    <xf numFmtId="0" fontId="64" fillId="0" borderId="9" xfId="60" applyFont="1" applyBorder="1"/>
    <xf numFmtId="0" fontId="64" fillId="0" borderId="9" xfId="0" applyFont="1" applyBorder="1" applyAlignment="1">
      <alignment horizontal="center"/>
    </xf>
    <xf numFmtId="0" fontId="68" fillId="0" borderId="9" xfId="0" applyFont="1" applyBorder="1" applyAlignment="1">
      <alignment horizontal="left"/>
    </xf>
    <xf numFmtId="0" fontId="65" fillId="0" borderId="9" xfId="0" applyFont="1" applyFill="1" applyBorder="1"/>
    <xf numFmtId="0" fontId="64" fillId="0" borderId="3" xfId="0" applyFont="1" applyBorder="1"/>
    <xf numFmtId="0" fontId="64" fillId="0" borderId="3" xfId="0" applyFont="1" applyBorder="1" applyAlignment="1">
      <alignment horizontal="center" vertical="center"/>
    </xf>
    <xf numFmtId="0" fontId="6" fillId="12" borderId="4" xfId="0" applyFont="1" applyFill="1" applyBorder="1" applyAlignment="1">
      <alignment horizontal="left"/>
    </xf>
    <xf numFmtId="0" fontId="61" fillId="12" borderId="86" xfId="0" applyFont="1" applyFill="1" applyBorder="1" applyAlignment="1"/>
    <xf numFmtId="0" fontId="2" fillId="34" borderId="28" xfId="0" applyFont="1" applyFill="1" applyBorder="1" applyAlignment="1">
      <alignment horizontal="center"/>
    </xf>
    <xf numFmtId="0" fontId="38" fillId="34" borderId="5" xfId="0" applyFont="1" applyFill="1" applyBorder="1" applyAlignment="1">
      <alignment horizontal="center"/>
    </xf>
    <xf numFmtId="0" fontId="38" fillId="34" borderId="14" xfId="0" applyFont="1" applyFill="1" applyBorder="1" applyAlignment="1">
      <alignment horizontal="center"/>
    </xf>
    <xf numFmtId="0" fontId="38" fillId="28" borderId="11" xfId="0" applyFont="1" applyFill="1" applyBorder="1" applyAlignment="1">
      <alignment horizontal="center"/>
    </xf>
    <xf numFmtId="0" fontId="2" fillId="31" borderId="31" xfId="0" applyFont="1" applyFill="1" applyBorder="1" applyAlignment="1">
      <alignment horizontal="center"/>
    </xf>
    <xf numFmtId="0" fontId="2" fillId="31" borderId="14" xfId="0" applyFont="1" applyFill="1" applyBorder="1" applyAlignment="1">
      <alignment horizontal="center"/>
    </xf>
    <xf numFmtId="0" fontId="2" fillId="4" borderId="14" xfId="0" applyFont="1" applyFill="1" applyBorder="1" applyAlignment="1">
      <alignment horizontal="center"/>
    </xf>
    <xf numFmtId="0" fontId="60" fillId="12" borderId="9" xfId="0" applyFont="1" applyFill="1" applyBorder="1"/>
    <xf numFmtId="0" fontId="60" fillId="12" borderId="9" xfId="0" applyFont="1" applyFill="1" applyBorder="1" applyAlignment="1">
      <alignment horizontal="left"/>
    </xf>
    <xf numFmtId="0" fontId="60" fillId="12" borderId="4" xfId="0" applyFont="1" applyFill="1" applyBorder="1"/>
    <xf numFmtId="0" fontId="2" fillId="0" borderId="87" xfId="0" applyFont="1" applyFill="1" applyBorder="1" applyAlignment="1">
      <alignment horizontal="center"/>
    </xf>
    <xf numFmtId="0" fontId="2" fillId="34" borderId="47" xfId="0" applyFont="1" applyFill="1" applyBorder="1" applyAlignment="1">
      <alignment horizontal="center"/>
    </xf>
    <xf numFmtId="0" fontId="38" fillId="34" borderId="80" xfId="0" applyFont="1" applyFill="1" applyBorder="1" applyAlignment="1">
      <alignment horizontal="center"/>
    </xf>
    <xf numFmtId="0" fontId="70" fillId="12" borderId="9" xfId="0" applyFont="1" applyFill="1" applyBorder="1" applyAlignment="1">
      <alignment horizontal="left"/>
    </xf>
    <xf numFmtId="0" fontId="60" fillId="12" borderId="88" xfId="0" applyFont="1" applyFill="1" applyBorder="1" applyAlignment="1">
      <alignment horizontal="left"/>
    </xf>
    <xf numFmtId="0" fontId="6" fillId="12" borderId="86" xfId="0" applyFont="1" applyFill="1" applyBorder="1" applyAlignment="1"/>
    <xf numFmtId="0" fontId="2" fillId="7" borderId="89" xfId="0" applyFont="1" applyFill="1" applyBorder="1" applyAlignment="1">
      <alignment horizontal="center"/>
    </xf>
    <xf numFmtId="0" fontId="2" fillId="14" borderId="31" xfId="0" applyFont="1" applyFill="1" applyBorder="1" applyAlignment="1">
      <alignment horizontal="center"/>
    </xf>
    <xf numFmtId="0" fontId="2" fillId="7" borderId="90" xfId="0" applyFont="1" applyFill="1" applyBorder="1" applyAlignment="1">
      <alignment horizontal="center"/>
    </xf>
    <xf numFmtId="0" fontId="2" fillId="14" borderId="21" xfId="0" applyFont="1" applyFill="1" applyBorder="1" applyAlignment="1">
      <alignment horizontal="center"/>
    </xf>
    <xf numFmtId="0" fontId="2" fillId="14" borderId="29" xfId="0" applyFont="1" applyFill="1" applyBorder="1" applyAlignment="1">
      <alignment horizontal="center"/>
    </xf>
    <xf numFmtId="0" fontId="2" fillId="31" borderId="60" xfId="0" applyFont="1" applyFill="1" applyBorder="1" applyAlignment="1">
      <alignment horizontal="center"/>
    </xf>
    <xf numFmtId="0" fontId="2" fillId="13" borderId="29" xfId="0" applyFont="1" applyFill="1" applyBorder="1" applyAlignment="1">
      <alignment horizontal="center"/>
    </xf>
    <xf numFmtId="0" fontId="2" fillId="7" borderId="60" xfId="0" applyFont="1" applyFill="1" applyBorder="1" applyAlignment="1">
      <alignment horizontal="center"/>
    </xf>
    <xf numFmtId="0" fontId="2" fillId="7" borderId="91" xfId="0" applyFont="1" applyFill="1" applyBorder="1" applyAlignment="1">
      <alignment horizontal="center"/>
    </xf>
    <xf numFmtId="0" fontId="2" fillId="34" borderId="89" xfId="0" applyFont="1" applyFill="1" applyBorder="1" applyAlignment="1">
      <alignment horizontal="center"/>
    </xf>
    <xf numFmtId="0" fontId="62" fillId="12" borderId="58" xfId="0" applyFont="1" applyFill="1" applyBorder="1" applyAlignment="1">
      <alignment horizontal="left"/>
    </xf>
    <xf numFmtId="0" fontId="146" fillId="27" borderId="8" xfId="0" applyFont="1" applyFill="1" applyBorder="1" applyAlignment="1">
      <alignment horizontal="center"/>
    </xf>
    <xf numFmtId="0" fontId="0" fillId="35" borderId="0" xfId="0" applyFill="1"/>
    <xf numFmtId="0" fontId="0" fillId="35" borderId="0" xfId="0" applyFill="1" applyBorder="1"/>
    <xf numFmtId="0" fontId="172" fillId="35" borderId="0" xfId="0" applyFont="1" applyFill="1"/>
    <xf numFmtId="0" fontId="0" fillId="36" borderId="0" xfId="0" applyFill="1"/>
    <xf numFmtId="0" fontId="0" fillId="36" borderId="0" xfId="0" applyFill="1" applyBorder="1"/>
    <xf numFmtId="0" fontId="12" fillId="36" borderId="0" xfId="0" applyFont="1" applyFill="1" applyAlignment="1">
      <alignment horizontal="center" vertical="center"/>
    </xf>
    <xf numFmtId="0" fontId="4" fillId="20" borderId="92" xfId="0" applyFont="1" applyFill="1" applyBorder="1" applyAlignment="1" applyProtection="1">
      <alignment horizontal="center" textRotation="90"/>
      <protection locked="0"/>
    </xf>
    <xf numFmtId="0" fontId="4" fillId="20" borderId="25" xfId="0" applyFont="1" applyFill="1" applyBorder="1" applyAlignment="1" applyProtection="1">
      <alignment horizontal="center" textRotation="90"/>
      <protection locked="0"/>
    </xf>
    <xf numFmtId="0" fontId="4" fillId="20" borderId="27" xfId="0" applyFont="1" applyFill="1" applyBorder="1" applyAlignment="1" applyProtection="1">
      <alignment horizontal="center" textRotation="90"/>
      <protection locked="0"/>
    </xf>
    <xf numFmtId="0" fontId="14" fillId="21" borderId="2" xfId="0" applyFont="1" applyFill="1" applyBorder="1" applyAlignment="1">
      <alignment horizontal="center"/>
    </xf>
    <xf numFmtId="0" fontId="14" fillId="21" borderId="93" xfId="0" applyFont="1" applyFill="1" applyBorder="1" applyAlignment="1">
      <alignment horizontal="center"/>
    </xf>
    <xf numFmtId="0" fontId="14" fillId="21" borderId="1" xfId="0" applyFont="1" applyFill="1" applyBorder="1" applyAlignment="1">
      <alignment horizontal="center"/>
    </xf>
    <xf numFmtId="0" fontId="4" fillId="20" borderId="2" xfId="0" applyFont="1" applyFill="1" applyBorder="1" applyAlignment="1" applyProtection="1">
      <alignment horizontal="center" textRotation="90"/>
      <protection locked="0"/>
    </xf>
    <xf numFmtId="0" fontId="4" fillId="20" borderId="93" xfId="0" applyFont="1" applyFill="1" applyBorder="1" applyAlignment="1" applyProtection="1">
      <alignment horizontal="center" textRotation="90"/>
      <protection locked="0"/>
    </xf>
    <xf numFmtId="0" fontId="4" fillId="20" borderId="1" xfId="0" applyFont="1" applyFill="1" applyBorder="1" applyAlignment="1" applyProtection="1">
      <alignment horizontal="center" textRotation="90"/>
      <protection locked="0"/>
    </xf>
    <xf numFmtId="0" fontId="173" fillId="34" borderId="0" xfId="1" applyFont="1" applyFill="1" applyAlignment="1" applyProtection="1">
      <alignment horizontal="center"/>
    </xf>
    <xf numFmtId="0" fontId="13" fillId="19" borderId="0" xfId="47" applyFont="1" applyFill="1" applyBorder="1" applyAlignment="1">
      <alignment horizontal="center" vertical="center" wrapText="1"/>
    </xf>
    <xf numFmtId="0" fontId="13" fillId="19" borderId="37" xfId="47" applyFont="1" applyFill="1" applyBorder="1" applyAlignment="1">
      <alignment horizontal="center" vertical="center" wrapText="1"/>
    </xf>
    <xf numFmtId="0" fontId="110" fillId="19" borderId="0" xfId="47" applyFont="1" applyFill="1" applyAlignment="1">
      <alignment horizontal="center" vertical="center"/>
    </xf>
    <xf numFmtId="0" fontId="17" fillId="0" borderId="0" xfId="47" applyFill="1" applyAlignment="1">
      <alignment horizontal="center"/>
    </xf>
    <xf numFmtId="0" fontId="16" fillId="13" borderId="0" xfId="47" applyFont="1" applyFill="1" applyAlignment="1">
      <alignment horizontal="center"/>
    </xf>
    <xf numFmtId="0" fontId="0" fillId="0" borderId="0" xfId="0" applyAlignment="1"/>
    <xf numFmtId="0" fontId="134" fillId="25" borderId="0" xfId="1" applyFont="1" applyFill="1" applyBorder="1" applyAlignment="1" applyProtection="1">
      <alignment horizontal="center" wrapText="1"/>
    </xf>
    <xf numFmtId="0" fontId="134" fillId="24" borderId="0" xfId="1" applyFont="1" applyFill="1" applyBorder="1" applyAlignment="1" applyProtection="1">
      <alignment horizontal="center" wrapText="1"/>
    </xf>
    <xf numFmtId="0" fontId="109" fillId="19" borderId="4" xfId="47" applyFont="1" applyFill="1" applyBorder="1" applyAlignment="1">
      <alignment horizontal="center" vertical="center" wrapText="1"/>
    </xf>
    <xf numFmtId="0" fontId="109" fillId="19" borderId="11" xfId="47" applyFont="1" applyFill="1" applyBorder="1" applyAlignment="1">
      <alignment horizontal="center" vertical="center" wrapText="1"/>
    </xf>
    <xf numFmtId="0" fontId="109" fillId="19" borderId="52" xfId="47" applyFont="1" applyFill="1" applyBorder="1" applyAlignment="1">
      <alignment horizontal="center" vertical="center" wrapText="1"/>
    </xf>
    <xf numFmtId="0" fontId="109" fillId="19" borderId="4" xfId="47" applyFont="1" applyFill="1" applyBorder="1" applyAlignment="1">
      <alignment horizontal="center" vertical="center"/>
    </xf>
    <xf numFmtId="0" fontId="109" fillId="19" borderId="11" xfId="47" applyFont="1" applyFill="1" applyBorder="1" applyAlignment="1">
      <alignment horizontal="center" vertical="center"/>
    </xf>
    <xf numFmtId="0" fontId="109" fillId="19" borderId="52" xfId="47" applyFont="1" applyFill="1" applyBorder="1" applyAlignment="1">
      <alignment horizontal="center" vertical="center"/>
    </xf>
    <xf numFmtId="0" fontId="134" fillId="10" borderId="0" xfId="1" applyFont="1" applyFill="1" applyBorder="1" applyAlignment="1" applyProtection="1">
      <alignment horizontal="center" wrapText="1"/>
    </xf>
    <xf numFmtId="0" fontId="134" fillId="23" borderId="0" xfId="1" applyFont="1" applyFill="1" applyBorder="1" applyAlignment="1" applyProtection="1">
      <alignment horizontal="center"/>
    </xf>
    <xf numFmtId="0" fontId="134" fillId="22" borderId="0" xfId="1" applyFont="1" applyFill="1" applyBorder="1" applyAlignment="1" applyProtection="1">
      <alignment horizontal="center"/>
    </xf>
    <xf numFmtId="0" fontId="4" fillId="3" borderId="13" xfId="1" applyFont="1" applyFill="1" applyBorder="1" applyAlignment="1" applyProtection="1">
      <alignment horizontal="center"/>
    </xf>
    <xf numFmtId="0" fontId="13" fillId="19" borderId="0" xfId="0" applyFont="1" applyFill="1" applyBorder="1" applyAlignment="1">
      <alignment horizontal="center" vertical="center" wrapText="1"/>
    </xf>
    <xf numFmtId="0" fontId="13" fillId="19" borderId="37" xfId="0" applyFont="1" applyFill="1" applyBorder="1" applyAlignment="1">
      <alignment horizontal="center" vertical="center" wrapText="1"/>
    </xf>
    <xf numFmtId="14" fontId="12" fillId="13" borderId="0" xfId="0" applyNumberFormat="1" applyFont="1" applyFill="1" applyAlignment="1">
      <alignment horizontal="center"/>
    </xf>
    <xf numFmtId="0" fontId="12" fillId="13" borderId="0" xfId="0" applyFont="1" applyFill="1" applyAlignment="1">
      <alignment horizontal="center"/>
    </xf>
    <xf numFmtId="0" fontId="12" fillId="18" borderId="0" xfId="1" applyFont="1" applyFill="1" applyAlignment="1" applyProtection="1">
      <alignment horizontal="center" vertical="center"/>
    </xf>
    <xf numFmtId="14" fontId="111" fillId="25" borderId="0" xfId="0" applyNumberFormat="1" applyFont="1" applyFill="1" applyAlignment="1">
      <alignment horizontal="center"/>
    </xf>
    <xf numFmtId="0" fontId="111" fillId="25" borderId="0" xfId="0" applyFont="1" applyFill="1" applyAlignment="1">
      <alignment horizontal="center"/>
    </xf>
    <xf numFmtId="14" fontId="111" fillId="22" borderId="0" xfId="0" applyNumberFormat="1" applyFont="1" applyFill="1" applyAlignment="1">
      <alignment horizontal="center"/>
    </xf>
    <xf numFmtId="0" fontId="111" fillId="22" borderId="0" xfId="0" applyFont="1" applyFill="1" applyAlignment="1">
      <alignment horizontal="center"/>
    </xf>
    <xf numFmtId="14" fontId="111" fillId="23" borderId="0" xfId="0" applyNumberFormat="1" applyFont="1" applyFill="1" applyAlignment="1">
      <alignment horizontal="center"/>
    </xf>
    <xf numFmtId="0" fontId="111" fillId="23" borderId="0" xfId="0" applyFont="1" applyFill="1" applyAlignment="1">
      <alignment horizontal="center"/>
    </xf>
    <xf numFmtId="14" fontId="111" fillId="10" borderId="0" xfId="0" applyNumberFormat="1" applyFont="1" applyFill="1" applyAlignment="1">
      <alignment horizontal="center"/>
    </xf>
    <xf numFmtId="0" fontId="111" fillId="10" borderId="0" xfId="0" applyFont="1" applyFill="1" applyAlignment="1">
      <alignment horizontal="center"/>
    </xf>
    <xf numFmtId="14" fontId="111" fillId="24" borderId="0" xfId="0" applyNumberFormat="1" applyFont="1" applyFill="1" applyAlignment="1">
      <alignment horizontal="center"/>
    </xf>
    <xf numFmtId="0" fontId="111" fillId="24" borderId="0" xfId="0" applyFont="1" applyFill="1" applyAlignment="1">
      <alignment horizontal="center"/>
    </xf>
    <xf numFmtId="14" fontId="12" fillId="7" borderId="4" xfId="0" applyNumberFormat="1" applyFont="1" applyFill="1" applyBorder="1" applyAlignment="1">
      <alignment horizontal="center"/>
    </xf>
    <xf numFmtId="0" fontId="12" fillId="7" borderId="11" xfId="0" applyFont="1" applyFill="1" applyBorder="1" applyAlignment="1">
      <alignment horizontal="center"/>
    </xf>
    <xf numFmtId="0" fontId="12" fillId="7" borderId="52" xfId="0" applyFont="1" applyFill="1" applyBorder="1" applyAlignment="1">
      <alignment horizontal="center"/>
    </xf>
    <xf numFmtId="0" fontId="10" fillId="0" borderId="0" xfId="0" applyFont="1" applyAlignment="1">
      <alignment horizontal="center" vertical="center"/>
    </xf>
    <xf numFmtId="0" fontId="23" fillId="8" borderId="37" xfId="0" applyFont="1" applyFill="1" applyBorder="1" applyAlignment="1">
      <alignment horizontal="center"/>
    </xf>
    <xf numFmtId="0" fontId="85" fillId="11" borderId="11" xfId="0" applyFont="1" applyFill="1" applyBorder="1" applyAlignment="1">
      <alignment horizontal="center" vertical="center"/>
    </xf>
    <xf numFmtId="0" fontId="86" fillId="0" borderId="50" xfId="0" applyFont="1" applyBorder="1" applyAlignment="1">
      <alignment horizontal="center" vertical="center"/>
    </xf>
    <xf numFmtId="0" fontId="85" fillId="11" borderId="4" xfId="0" applyFont="1" applyFill="1" applyBorder="1" applyAlignment="1">
      <alignment horizontal="center" vertical="center"/>
    </xf>
    <xf numFmtId="0" fontId="86" fillId="0" borderId="11" xfId="0" applyFont="1" applyBorder="1" applyAlignment="1">
      <alignment horizontal="center" vertical="center"/>
    </xf>
    <xf numFmtId="0" fontId="12" fillId="36" borderId="108" xfId="0" applyFont="1" applyFill="1" applyBorder="1" applyAlignment="1">
      <alignment horizontal="center" vertical="center"/>
    </xf>
    <xf numFmtId="0" fontId="12" fillId="36" borderId="113" xfId="0" applyFont="1" applyFill="1" applyBorder="1" applyAlignment="1">
      <alignment horizontal="center" vertical="center"/>
    </xf>
    <xf numFmtId="0" fontId="12" fillId="36" borderId="109" xfId="0" applyFont="1" applyFill="1" applyBorder="1" applyAlignment="1">
      <alignment horizontal="center" vertical="center"/>
    </xf>
    <xf numFmtId="0" fontId="12" fillId="36" borderId="110" xfId="0" applyFont="1" applyFill="1" applyBorder="1" applyAlignment="1">
      <alignment horizontal="center" vertical="center"/>
    </xf>
    <xf numFmtId="0" fontId="12" fillId="36" borderId="114" xfId="0" applyFont="1" applyFill="1" applyBorder="1" applyAlignment="1">
      <alignment horizontal="center" vertical="center"/>
    </xf>
    <xf numFmtId="0" fontId="12" fillId="36" borderId="111" xfId="0" applyFont="1" applyFill="1" applyBorder="1" applyAlignment="1">
      <alignment horizontal="center" vertical="center"/>
    </xf>
    <xf numFmtId="0" fontId="112" fillId="26" borderId="107" xfId="0" applyFont="1" applyFill="1" applyBorder="1" applyAlignment="1">
      <alignment horizontal="left" vertical="center" textRotation="90"/>
    </xf>
    <xf numFmtId="0" fontId="112" fillId="37" borderId="99" xfId="0" applyFont="1" applyFill="1" applyBorder="1" applyAlignment="1">
      <alignment horizontal="left" vertical="center" textRotation="90"/>
    </xf>
    <xf numFmtId="0" fontId="112" fillId="37" borderId="100" xfId="0" applyFont="1" applyFill="1" applyBorder="1" applyAlignment="1">
      <alignment horizontal="left" vertical="center" textRotation="90"/>
    </xf>
    <xf numFmtId="0" fontId="113" fillId="26" borderId="13" xfId="0" applyFont="1" applyFill="1" applyBorder="1" applyAlignment="1">
      <alignment horizontal="left" vertical="center" textRotation="90"/>
    </xf>
    <xf numFmtId="0" fontId="114" fillId="0" borderId="0" xfId="0" applyFont="1" applyBorder="1" applyAlignment="1">
      <alignment horizontal="left" vertical="center" textRotation="90"/>
    </xf>
    <xf numFmtId="0" fontId="114" fillId="0" borderId="37" xfId="0" applyFont="1" applyBorder="1" applyAlignment="1">
      <alignment horizontal="left" vertical="center" textRotation="90"/>
    </xf>
    <xf numFmtId="3" fontId="115" fillId="0" borderId="101" xfId="0" applyNumberFormat="1" applyFont="1" applyBorder="1" applyAlignment="1">
      <alignment horizontal="center" vertical="center" wrapText="1"/>
    </xf>
    <xf numFmtId="3" fontId="115" fillId="0" borderId="102" xfId="0" applyNumberFormat="1" applyFont="1" applyBorder="1" applyAlignment="1">
      <alignment horizontal="center" vertical="center" wrapText="1"/>
    </xf>
    <xf numFmtId="3" fontId="115" fillId="0" borderId="103" xfId="0" applyNumberFormat="1" applyFont="1" applyBorder="1" applyAlignment="1">
      <alignment horizontal="center" vertical="center" wrapText="1"/>
    </xf>
    <xf numFmtId="0" fontId="4" fillId="26" borderId="13" xfId="0" applyFont="1" applyFill="1" applyBorder="1" applyAlignment="1">
      <alignment horizontal="left" vertical="center" textRotation="90"/>
    </xf>
    <xf numFmtId="0" fontId="127" fillId="0" borderId="0" xfId="0" applyFont="1" applyBorder="1" applyAlignment="1">
      <alignment horizontal="left" vertical="center" textRotation="90"/>
    </xf>
    <xf numFmtId="0" fontId="127" fillId="0" borderId="37" xfId="0" applyFont="1" applyBorder="1" applyAlignment="1">
      <alignment horizontal="left" vertical="center" textRotation="90"/>
    </xf>
    <xf numFmtId="3" fontId="115" fillId="0" borderId="112" xfId="0" applyNumberFormat="1" applyFont="1" applyBorder="1" applyAlignment="1">
      <alignment horizontal="center" vertical="center" wrapText="1"/>
    </xf>
    <xf numFmtId="3" fontId="115" fillId="0" borderId="105" xfId="0" applyNumberFormat="1" applyFont="1" applyBorder="1" applyAlignment="1">
      <alignment horizontal="center" vertical="center" wrapText="1"/>
    </xf>
    <xf numFmtId="3" fontId="115" fillId="0" borderId="106" xfId="0" applyNumberFormat="1" applyFont="1" applyBorder="1" applyAlignment="1">
      <alignment horizontal="center" vertical="center" wrapText="1"/>
    </xf>
    <xf numFmtId="3" fontId="115" fillId="0" borderId="3" xfId="0" applyNumberFormat="1" applyFont="1" applyBorder="1" applyAlignment="1">
      <alignment horizontal="center" vertical="center" wrapText="1"/>
    </xf>
    <xf numFmtId="0" fontId="112" fillId="37" borderId="98" xfId="0" applyFont="1" applyFill="1" applyBorder="1" applyAlignment="1">
      <alignment horizontal="left" vertical="center" textRotation="90"/>
    </xf>
    <xf numFmtId="0" fontId="187" fillId="0" borderId="3" xfId="1" applyFont="1" applyFill="1" applyBorder="1" applyAlignment="1" applyProtection="1">
      <alignment horizontal="center" vertical="center"/>
    </xf>
    <xf numFmtId="0" fontId="187" fillId="0" borderId="3" xfId="0" applyFont="1" applyFill="1" applyBorder="1" applyAlignment="1">
      <alignment horizontal="center" vertical="center"/>
    </xf>
    <xf numFmtId="0" fontId="188" fillId="0" borderId="3" xfId="1" applyFont="1" applyFill="1" applyBorder="1" applyAlignment="1" applyProtection="1">
      <alignment horizontal="center" vertical="center"/>
    </xf>
    <xf numFmtId="0" fontId="188" fillId="0" borderId="3" xfId="0" applyFont="1" applyFill="1" applyBorder="1" applyAlignment="1">
      <alignment horizontal="center" vertical="center"/>
    </xf>
    <xf numFmtId="0" fontId="189" fillId="0" borderId="3" xfId="1" applyFont="1" applyFill="1" applyBorder="1" applyAlignment="1" applyProtection="1">
      <alignment horizontal="center" vertical="center"/>
    </xf>
    <xf numFmtId="0" fontId="189" fillId="0" borderId="3" xfId="0" applyFont="1" applyFill="1" applyBorder="1" applyAlignment="1">
      <alignment horizontal="center" vertical="center"/>
    </xf>
    <xf numFmtId="0" fontId="4" fillId="26" borderId="0" xfId="0" applyFont="1" applyFill="1" applyBorder="1" applyAlignment="1">
      <alignment horizontal="center" vertical="center" textRotation="90"/>
    </xf>
    <xf numFmtId="0" fontId="127" fillId="0" borderId="0" xfId="0" applyFont="1" applyBorder="1" applyAlignment="1">
      <alignment horizontal="center" vertical="center" textRotation="90"/>
    </xf>
    <xf numFmtId="0" fontId="127" fillId="0" borderId="37" xfId="0" applyFont="1" applyBorder="1" applyAlignment="1">
      <alignment horizontal="center" vertical="center" textRotation="90"/>
    </xf>
    <xf numFmtId="0" fontId="4" fillId="26" borderId="13" xfId="0" applyFont="1" applyFill="1" applyBorder="1" applyAlignment="1">
      <alignment horizontal="center" vertical="center" textRotation="90"/>
    </xf>
    <xf numFmtId="3" fontId="115" fillId="0" borderId="104" xfId="0" applyNumberFormat="1" applyFont="1" applyBorder="1" applyAlignment="1">
      <alignment horizontal="center" vertical="center" wrapText="1"/>
    </xf>
    <xf numFmtId="0" fontId="185" fillId="0" borderId="3" xfId="1" applyFont="1" applyFill="1" applyBorder="1" applyAlignment="1" applyProtection="1">
      <alignment horizontal="center" vertical="center"/>
    </xf>
    <xf numFmtId="16" fontId="185" fillId="0" borderId="3" xfId="0" applyNumberFormat="1" applyFont="1" applyFill="1" applyBorder="1" applyAlignment="1">
      <alignment horizontal="center" vertical="center"/>
    </xf>
    <xf numFmtId="0" fontId="185" fillId="0" borderId="3" xfId="0" applyFont="1" applyFill="1" applyBorder="1" applyAlignment="1">
      <alignment horizontal="center" vertical="center"/>
    </xf>
    <xf numFmtId="0" fontId="186" fillId="0" borderId="3" xfId="1" applyFont="1" applyFill="1" applyBorder="1" applyAlignment="1" applyProtection="1">
      <alignment horizontal="center" vertical="center"/>
    </xf>
    <xf numFmtId="0" fontId="186" fillId="0" borderId="3" xfId="0" applyFont="1" applyFill="1" applyBorder="1" applyAlignment="1">
      <alignment horizontal="center" vertical="center"/>
    </xf>
    <xf numFmtId="0" fontId="184" fillId="0" borderId="3" xfId="1" applyFont="1" applyFill="1" applyBorder="1" applyAlignment="1" applyProtection="1">
      <alignment horizontal="center" vertical="center"/>
    </xf>
    <xf numFmtId="0" fontId="183" fillId="35" borderId="108" xfId="1" applyFont="1" applyFill="1" applyBorder="1" applyAlignment="1" applyProtection="1">
      <alignment horizontal="center" wrapText="1"/>
    </xf>
    <xf numFmtId="0" fontId="183" fillId="35" borderId="109" xfId="1" applyFont="1" applyFill="1" applyBorder="1" applyAlignment="1" applyProtection="1">
      <alignment horizontal="center" wrapText="1"/>
    </xf>
    <xf numFmtId="0" fontId="183" fillId="35" borderId="110" xfId="1" applyFont="1" applyFill="1" applyBorder="1" applyAlignment="1" applyProtection="1">
      <alignment horizontal="center" wrapText="1"/>
    </xf>
    <xf numFmtId="0" fontId="183" fillId="35" borderId="111" xfId="1" applyFont="1" applyFill="1" applyBorder="1" applyAlignment="1" applyProtection="1">
      <alignment horizontal="center" wrapText="1"/>
    </xf>
    <xf numFmtId="0" fontId="184" fillId="0" borderId="3" xfId="0" applyFont="1" applyFill="1" applyBorder="1" applyAlignment="1">
      <alignment horizontal="center" vertical="center"/>
    </xf>
    <xf numFmtId="0" fontId="116" fillId="35" borderId="0" xfId="0" applyFont="1" applyFill="1" applyAlignment="1">
      <alignment horizontal="center" vertical="center"/>
    </xf>
    <xf numFmtId="0" fontId="135" fillId="35" borderId="96" xfId="1" applyFont="1" applyFill="1" applyBorder="1" applyAlignment="1" applyProtection="1">
      <alignment horizontal="center" vertical="center"/>
    </xf>
    <xf numFmtId="0" fontId="135" fillId="35" borderId="97" xfId="1" applyFont="1" applyFill="1" applyBorder="1" applyAlignment="1" applyProtection="1">
      <alignment horizontal="center" vertical="center"/>
    </xf>
    <xf numFmtId="3" fontId="115" fillId="0" borderId="101" xfId="0" applyNumberFormat="1" applyFont="1" applyFill="1" applyBorder="1" applyAlignment="1">
      <alignment horizontal="center" vertical="center" wrapText="1"/>
    </xf>
    <xf numFmtId="3" fontId="115" fillId="0" borderId="102" xfId="0" applyNumberFormat="1" applyFont="1" applyFill="1" applyBorder="1" applyAlignment="1">
      <alignment horizontal="center" vertical="center" wrapText="1"/>
    </xf>
    <xf numFmtId="3" fontId="115" fillId="0" borderId="103" xfId="0" applyNumberFormat="1" applyFont="1" applyFill="1" applyBorder="1" applyAlignment="1">
      <alignment horizontal="center" vertical="center" wrapText="1"/>
    </xf>
    <xf numFmtId="3" fontId="115" fillId="0" borderId="104" xfId="0" applyNumberFormat="1" applyFont="1" applyFill="1" applyBorder="1" applyAlignment="1">
      <alignment horizontal="center" vertical="center" wrapText="1"/>
    </xf>
    <xf numFmtId="3" fontId="115" fillId="0" borderId="105" xfId="0" applyNumberFormat="1" applyFont="1" applyFill="1" applyBorder="1" applyAlignment="1">
      <alignment horizontal="center" vertical="center" wrapText="1"/>
    </xf>
    <xf numFmtId="3" fontId="115" fillId="0" borderId="106" xfId="0" applyNumberFormat="1" applyFont="1" applyFill="1" applyBorder="1" applyAlignment="1">
      <alignment horizontal="center" vertical="center" wrapText="1"/>
    </xf>
    <xf numFmtId="0" fontId="182" fillId="37" borderId="58" xfId="0" applyFont="1" applyFill="1" applyBorder="1" applyAlignment="1">
      <alignment horizontal="center" vertical="center" textRotation="90"/>
    </xf>
    <xf numFmtId="0" fontId="182" fillId="37" borderId="94" xfId="0" applyFont="1" applyFill="1" applyBorder="1" applyAlignment="1">
      <alignment horizontal="center" vertical="center" textRotation="90"/>
    </xf>
    <xf numFmtId="0" fontId="182" fillId="37" borderId="95" xfId="0" applyFont="1" applyFill="1" applyBorder="1" applyAlignment="1">
      <alignment horizontal="center" vertical="center" textRotation="90"/>
    </xf>
    <xf numFmtId="0" fontId="163" fillId="37" borderId="55" xfId="0" applyFont="1" applyFill="1" applyBorder="1" applyAlignment="1">
      <alignment horizontal="center" vertical="center" textRotation="90"/>
    </xf>
    <xf numFmtId="0" fontId="163" fillId="37" borderId="57" xfId="0" applyFont="1" applyFill="1" applyBorder="1" applyAlignment="1">
      <alignment horizontal="center" vertical="center" textRotation="90"/>
    </xf>
    <xf numFmtId="0" fontId="163" fillId="37" borderId="53" xfId="0" applyFont="1" applyFill="1" applyBorder="1" applyAlignment="1">
      <alignment horizontal="center" vertical="center" textRotation="90"/>
    </xf>
    <xf numFmtId="3" fontId="181" fillId="0" borderId="3" xfId="0" applyNumberFormat="1" applyFont="1" applyFill="1" applyBorder="1" applyAlignment="1">
      <alignment horizontal="center" vertical="center" wrapText="1"/>
    </xf>
    <xf numFmtId="0" fontId="164" fillId="37" borderId="55" xfId="0" applyFont="1" applyFill="1" applyBorder="1" applyAlignment="1">
      <alignment horizontal="center" vertical="center" textRotation="90"/>
    </xf>
    <xf numFmtId="0" fontId="164" fillId="37" borderId="57" xfId="0" applyFont="1" applyFill="1" applyBorder="1" applyAlignment="1">
      <alignment horizontal="center" vertical="center" textRotation="90"/>
    </xf>
    <xf numFmtId="0" fontId="164" fillId="37" borderId="53" xfId="0" applyFont="1" applyFill="1" applyBorder="1" applyAlignment="1">
      <alignment horizontal="center" vertical="center" textRotation="90"/>
    </xf>
    <xf numFmtId="3" fontId="181" fillId="0" borderId="3" xfId="0" applyNumberFormat="1" applyFont="1" applyBorder="1" applyAlignment="1">
      <alignment horizontal="center" vertical="center" wrapText="1"/>
    </xf>
    <xf numFmtId="0" fontId="174" fillId="37" borderId="58" xfId="0" applyFont="1" applyFill="1" applyBorder="1" applyAlignment="1">
      <alignment horizontal="center" vertical="center" textRotation="90"/>
    </xf>
    <xf numFmtId="0" fontId="174" fillId="37" borderId="94" xfId="0" applyFont="1" applyFill="1" applyBorder="1" applyAlignment="1">
      <alignment horizontal="center" vertical="center" textRotation="90"/>
    </xf>
    <xf numFmtId="0" fontId="174" fillId="37" borderId="95" xfId="0" applyFont="1" applyFill="1" applyBorder="1" applyAlignment="1">
      <alignment horizontal="center" vertical="center" textRotation="90"/>
    </xf>
    <xf numFmtId="3" fontId="180" fillId="0" borderId="3" xfId="0" applyNumberFormat="1" applyFont="1" applyFill="1" applyBorder="1" applyAlignment="1">
      <alignment horizontal="center" vertical="center" wrapText="1"/>
    </xf>
    <xf numFmtId="0" fontId="112" fillId="26" borderId="58" xfId="0" applyFont="1" applyFill="1" applyBorder="1" applyAlignment="1">
      <alignment horizontal="left" vertical="center" textRotation="90"/>
    </xf>
    <xf numFmtId="0" fontId="112" fillId="26" borderId="94" xfId="0" applyFont="1" applyFill="1" applyBorder="1" applyAlignment="1">
      <alignment horizontal="left" vertical="center" textRotation="90"/>
    </xf>
    <xf numFmtId="0" fontId="112" fillId="26" borderId="95" xfId="0" applyFont="1" applyFill="1" applyBorder="1" applyAlignment="1">
      <alignment horizontal="left" vertical="center" textRotation="90"/>
    </xf>
    <xf numFmtId="0" fontId="12" fillId="38" borderId="0" xfId="1" applyFont="1" applyFill="1" applyAlignment="1" applyProtection="1">
      <alignment horizontal="center" vertical="center"/>
    </xf>
    <xf numFmtId="0" fontId="179" fillId="0" borderId="3" xfId="1" applyFont="1" applyFill="1" applyBorder="1" applyAlignment="1" applyProtection="1">
      <alignment horizontal="center" vertical="center"/>
    </xf>
    <xf numFmtId="0" fontId="179" fillId="0" borderId="3" xfId="0" applyFont="1" applyFill="1" applyBorder="1" applyAlignment="1">
      <alignment horizontal="center" vertical="center"/>
    </xf>
    <xf numFmtId="0" fontId="162" fillId="37" borderId="55" xfId="0" applyFont="1" applyFill="1" applyBorder="1" applyAlignment="1">
      <alignment horizontal="center" vertical="center" textRotation="90"/>
    </xf>
    <xf numFmtId="0" fontId="162" fillId="37" borderId="57" xfId="0" applyFont="1" applyFill="1" applyBorder="1" applyAlignment="1">
      <alignment horizontal="center" vertical="center" textRotation="90"/>
    </xf>
    <xf numFmtId="0" fontId="162" fillId="37" borderId="123" xfId="0" applyFont="1" applyFill="1" applyBorder="1" applyAlignment="1">
      <alignment horizontal="center" vertical="center" textRotation="90"/>
    </xf>
    <xf numFmtId="0" fontId="136" fillId="35" borderId="96" xfId="1" applyFont="1" applyFill="1" applyBorder="1" applyAlignment="1" applyProtection="1">
      <alignment horizontal="center" vertical="center"/>
    </xf>
    <xf numFmtId="0" fontId="136" fillId="35" borderId="97" xfId="1" applyFont="1" applyFill="1" applyBorder="1" applyAlignment="1" applyProtection="1">
      <alignment horizontal="center" vertical="center"/>
    </xf>
    <xf numFmtId="0" fontId="128" fillId="35" borderId="96" xfId="1" applyFont="1" applyFill="1" applyBorder="1" applyAlignment="1" applyProtection="1">
      <alignment horizontal="center" vertical="center"/>
    </xf>
    <xf numFmtId="0" fontId="128" fillId="35" borderId="97" xfId="1" applyFont="1" applyFill="1" applyBorder="1" applyAlignment="1" applyProtection="1">
      <alignment horizontal="center" vertical="center"/>
    </xf>
    <xf numFmtId="3" fontId="176" fillId="0" borderId="3" xfId="0" applyNumberFormat="1" applyFont="1" applyBorder="1" applyAlignment="1">
      <alignment horizontal="center" vertical="center" wrapText="1"/>
    </xf>
    <xf numFmtId="3" fontId="177" fillId="0" borderId="3" xfId="0" applyNumberFormat="1" applyFont="1" applyBorder="1" applyAlignment="1">
      <alignment horizontal="center" vertical="center" wrapText="1"/>
    </xf>
    <xf numFmtId="3" fontId="178" fillId="0" borderId="3" xfId="0" applyNumberFormat="1" applyFont="1" applyFill="1" applyBorder="1" applyAlignment="1">
      <alignment horizontal="center" vertical="center" wrapText="1"/>
    </xf>
    <xf numFmtId="0" fontId="166" fillId="37" borderId="58" xfId="0" applyFont="1" applyFill="1" applyBorder="1" applyAlignment="1">
      <alignment horizontal="center" vertical="center" textRotation="90"/>
    </xf>
    <xf numFmtId="0" fontId="166" fillId="37" borderId="94" xfId="0" applyFont="1" applyFill="1" applyBorder="1" applyAlignment="1">
      <alignment horizontal="center" vertical="center" textRotation="90"/>
    </xf>
    <xf numFmtId="0" fontId="166" fillId="37" borderId="122" xfId="0" applyFont="1" applyFill="1" applyBorder="1" applyAlignment="1">
      <alignment horizontal="center" vertical="center" textRotation="90"/>
    </xf>
    <xf numFmtId="0" fontId="168" fillId="37" borderId="124" xfId="0" applyFont="1" applyFill="1" applyBorder="1" applyAlignment="1">
      <alignment horizontal="center" vertical="center" textRotation="90"/>
    </xf>
    <xf numFmtId="0" fontId="168" fillId="37" borderId="94" xfId="0" applyFont="1" applyFill="1" applyBorder="1" applyAlignment="1">
      <alignment horizontal="center" vertical="center" textRotation="90"/>
    </xf>
    <xf numFmtId="0" fontId="168" fillId="37" borderId="95" xfId="0" applyFont="1" applyFill="1" applyBorder="1" applyAlignment="1">
      <alignment horizontal="center" vertical="center" textRotation="90"/>
    </xf>
    <xf numFmtId="0" fontId="149" fillId="37" borderId="121" xfId="0" applyFont="1" applyFill="1" applyBorder="1" applyAlignment="1">
      <alignment horizontal="center" vertical="center" textRotation="90"/>
    </xf>
    <xf numFmtId="0" fontId="149" fillId="37" borderId="57" xfId="0" applyFont="1" applyFill="1" applyBorder="1" applyAlignment="1">
      <alignment horizontal="center" vertical="center" textRotation="90"/>
    </xf>
    <xf numFmtId="0" fontId="149" fillId="37" borderId="53" xfId="0" applyFont="1" applyFill="1" applyBorder="1" applyAlignment="1">
      <alignment horizontal="center" vertical="center" textRotation="90"/>
    </xf>
    <xf numFmtId="0" fontId="168" fillId="37" borderId="58" xfId="0" applyFont="1" applyFill="1" applyBorder="1" applyAlignment="1">
      <alignment horizontal="center" vertical="center" textRotation="90"/>
    </xf>
    <xf numFmtId="0" fontId="149" fillId="37" borderId="55" xfId="0" applyFont="1" applyFill="1" applyBorder="1" applyAlignment="1">
      <alignment horizontal="center" vertical="center" textRotation="90"/>
    </xf>
    <xf numFmtId="0" fontId="175" fillId="37" borderId="58" xfId="0" applyFont="1" applyFill="1" applyBorder="1" applyAlignment="1">
      <alignment horizontal="center" vertical="center" textRotation="90"/>
    </xf>
    <xf numFmtId="0" fontId="175" fillId="37" borderId="94" xfId="0" applyFont="1" applyFill="1" applyBorder="1" applyAlignment="1">
      <alignment horizontal="center" vertical="center" textRotation="90"/>
    </xf>
    <xf numFmtId="0" fontId="175" fillId="37" borderId="95" xfId="0" applyFont="1" applyFill="1" applyBorder="1" applyAlignment="1">
      <alignment horizontal="center" vertical="center" textRotation="90"/>
    </xf>
    <xf numFmtId="0" fontId="165" fillId="37" borderId="55" xfId="0" applyFont="1" applyFill="1" applyBorder="1" applyAlignment="1">
      <alignment horizontal="center" vertical="center" textRotation="90"/>
    </xf>
    <xf numFmtId="0" fontId="165" fillId="37" borderId="57" xfId="0" applyFont="1" applyFill="1" applyBorder="1" applyAlignment="1">
      <alignment horizontal="center" vertical="center" textRotation="90"/>
    </xf>
    <xf numFmtId="0" fontId="165" fillId="37" borderId="53" xfId="0" applyFont="1" applyFill="1" applyBorder="1" applyAlignment="1">
      <alignment horizontal="center" vertical="center" textRotation="90"/>
    </xf>
    <xf numFmtId="0" fontId="3" fillId="16" borderId="77" xfId="0" applyFont="1" applyFill="1" applyBorder="1" applyAlignment="1">
      <alignment horizontal="center" vertical="center"/>
    </xf>
    <xf numFmtId="0" fontId="3" fillId="16" borderId="115" xfId="0" applyFont="1" applyFill="1" applyBorder="1" applyAlignment="1">
      <alignment horizontal="center" vertical="center"/>
    </xf>
    <xf numFmtId="0" fontId="3" fillId="16" borderId="116" xfId="0" applyFont="1" applyFill="1" applyBorder="1" applyAlignment="1">
      <alignment horizontal="center" vertical="center"/>
    </xf>
    <xf numFmtId="0" fontId="17" fillId="16" borderId="77" xfId="0" applyFont="1" applyFill="1" applyBorder="1" applyAlignment="1">
      <alignment horizontal="center"/>
    </xf>
    <xf numFmtId="0" fontId="17" fillId="16" borderId="115" xfId="0" applyFont="1" applyFill="1" applyBorder="1" applyAlignment="1">
      <alignment horizontal="center"/>
    </xf>
    <xf numFmtId="0" fontId="17" fillId="16" borderId="116" xfId="0" applyFont="1" applyFill="1" applyBorder="1" applyAlignment="1">
      <alignment horizontal="center"/>
    </xf>
    <xf numFmtId="0" fontId="17" fillId="16" borderId="77" xfId="0" applyFont="1" applyFill="1" applyBorder="1" applyAlignment="1">
      <alignment horizontal="center" vertical="center"/>
    </xf>
    <xf numFmtId="0" fontId="17" fillId="16" borderId="115" xfId="0" applyFont="1" applyFill="1" applyBorder="1" applyAlignment="1">
      <alignment horizontal="center" vertical="center"/>
    </xf>
    <xf numFmtId="0" fontId="17" fillId="16" borderId="116" xfId="0" applyFont="1" applyFill="1" applyBorder="1" applyAlignment="1">
      <alignment horizontal="center" vertical="center"/>
    </xf>
  </cellXfs>
  <cellStyles count="65">
    <cellStyle name="Hypertextový odkaz" xfId="1" builtinId="8"/>
    <cellStyle name="normální" xfId="0" builtinId="0"/>
    <cellStyle name="normální 2" xfId="2"/>
    <cellStyle name="normální 2 2" xfId="3"/>
    <cellStyle name="normální 2 2 2" xfId="4"/>
    <cellStyle name="normální 2 2 2 2" xfId="5"/>
    <cellStyle name="normální 2 2 2 2 2" xfId="6"/>
    <cellStyle name="normální 2 2 2 2 3" xfId="7"/>
    <cellStyle name="normální 2 2 2 2 4" xfId="8"/>
    <cellStyle name="normální 2 2 2 2 5" xfId="9"/>
    <cellStyle name="normální 2 2 2 3" xfId="10"/>
    <cellStyle name="normální 2 2 2 4" xfId="11"/>
    <cellStyle name="normální 2 2 2 5" xfId="12"/>
    <cellStyle name="normální 2 2 3" xfId="13"/>
    <cellStyle name="normální 2 2 4" xfId="14"/>
    <cellStyle name="normální 2 2 5" xfId="15"/>
    <cellStyle name="normální 2 2 6" xfId="16"/>
    <cellStyle name="normální 2 2 7" xfId="17"/>
    <cellStyle name="normální 2 2 8" xfId="18"/>
    <cellStyle name="normální 2 2 9" xfId="19"/>
    <cellStyle name="normální 2 3" xfId="20"/>
    <cellStyle name="normální 2 3 2" xfId="21"/>
    <cellStyle name="normální 2 3 2 2" xfId="22"/>
    <cellStyle name="normální 2 3 2 3" xfId="23"/>
    <cellStyle name="normální 2 3 2 4" xfId="24"/>
    <cellStyle name="normální 2 3 2 5" xfId="25"/>
    <cellStyle name="normální 2 3 3" xfId="26"/>
    <cellStyle name="normální 2 3 4" xfId="27"/>
    <cellStyle name="normální 2 3 5" xfId="28"/>
    <cellStyle name="normální 2 4" xfId="29"/>
    <cellStyle name="normální 2 4 2" xfId="30"/>
    <cellStyle name="normální 2 4 3" xfId="31"/>
    <cellStyle name="normální 2 4 4" xfId="32"/>
    <cellStyle name="normální 2 4 5" xfId="33"/>
    <cellStyle name="normální 2 5" xfId="34"/>
    <cellStyle name="normální 2 5 2" xfId="35"/>
    <cellStyle name="normální 2 5 3" xfId="36"/>
    <cellStyle name="normální 2 5 4" xfId="37"/>
    <cellStyle name="normální 2 5 5" xfId="38"/>
    <cellStyle name="normální 2 6" xfId="39"/>
    <cellStyle name="normální 2 6 2" xfId="40"/>
    <cellStyle name="normální 2 7" xfId="41"/>
    <cellStyle name="normální 2 7 2" xfId="42"/>
    <cellStyle name="normální 2 8" xfId="43"/>
    <cellStyle name="normální 2 8 2" xfId="44"/>
    <cellStyle name="normální 2 9" xfId="45"/>
    <cellStyle name="normální 2 9 2" xfId="46"/>
    <cellStyle name="normální 3" xfId="47"/>
    <cellStyle name="normální 3 2" xfId="48"/>
    <cellStyle name="normální 4" xfId="49"/>
    <cellStyle name="normální 4 2" xfId="50"/>
    <cellStyle name="normální 4 3" xfId="51"/>
    <cellStyle name="normální 4 4" xfId="52"/>
    <cellStyle name="normální 5" xfId="53"/>
    <cellStyle name="normální 5 2" xfId="54"/>
    <cellStyle name="normální 5 3" xfId="55"/>
    <cellStyle name="normální 5 3 2" xfId="56"/>
    <cellStyle name="normální 5 4" xfId="57"/>
    <cellStyle name="normální 6" xfId="58"/>
    <cellStyle name="normální 6 2" xfId="59"/>
    <cellStyle name="normální 7" xfId="60"/>
    <cellStyle name="normální 7 2" xfId="61"/>
    <cellStyle name="normální 8" xfId="62"/>
    <cellStyle name="normální 9" xfId="63"/>
    <cellStyle name="normální 9 2" xfId="64"/>
  </cellStyles>
  <dxfs count="12"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8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7999816888943144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microsoft.com/office/2006/relationships/vbaProject" Target="vbaProject.bin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209550</xdr:colOff>
      <xdr:row>2</xdr:row>
      <xdr:rowOff>76200</xdr:rowOff>
    </xdr:from>
    <xdr:to>
      <xdr:col>2</xdr:col>
      <xdr:colOff>1028700</xdr:colOff>
      <xdr:row>2</xdr:row>
      <xdr:rowOff>1295400</xdr:rowOff>
    </xdr:to>
    <xdr:pic>
      <xdr:nvPicPr>
        <xdr:cNvPr id="1860" name="Picture 1" descr="logo odbory pos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3850" y="581025"/>
          <a:ext cx="1114425" cy="1219200"/>
        </a:xfrm>
        <a:prstGeom prst="rect">
          <a:avLst/>
        </a:prstGeom>
        <a:solidFill>
          <a:srgbClr val="FFCC99"/>
        </a:solidFill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42</xdr:row>
      <xdr:rowOff>104775</xdr:rowOff>
    </xdr:from>
    <xdr:to>
      <xdr:col>2</xdr:col>
      <xdr:colOff>19050</xdr:colOff>
      <xdr:row>43</xdr:row>
      <xdr:rowOff>38100</xdr:rowOff>
    </xdr:to>
    <xdr:sp macro="" textlink="">
      <xdr:nvSpPr>
        <xdr:cNvPr id="1861" name="Rectangle 27"/>
        <xdr:cNvSpPr>
          <a:spLocks noChangeArrowheads="1"/>
        </xdr:cNvSpPr>
      </xdr:nvSpPr>
      <xdr:spPr bwMode="auto">
        <a:xfrm>
          <a:off x="409575" y="8334375"/>
          <a:ext cx="190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42</xdr:row>
      <xdr:rowOff>152400</xdr:rowOff>
    </xdr:from>
    <xdr:to>
      <xdr:col>2</xdr:col>
      <xdr:colOff>19050</xdr:colOff>
      <xdr:row>43</xdr:row>
      <xdr:rowOff>152400</xdr:rowOff>
    </xdr:to>
    <xdr:sp macro="" textlink="">
      <xdr:nvSpPr>
        <xdr:cNvPr id="1862" name="Rectangle 28"/>
        <xdr:cNvSpPr>
          <a:spLocks noChangeArrowheads="1"/>
        </xdr:cNvSpPr>
      </xdr:nvSpPr>
      <xdr:spPr bwMode="auto">
        <a:xfrm>
          <a:off x="409575" y="8382000"/>
          <a:ext cx="190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593725</xdr:colOff>
      <xdr:row>11</xdr:row>
      <xdr:rowOff>57150</xdr:rowOff>
    </xdr:from>
    <xdr:to>
      <xdr:col>15</xdr:col>
      <xdr:colOff>1124316</xdr:colOff>
      <xdr:row>12</xdr:row>
      <xdr:rowOff>793</xdr:rowOff>
    </xdr:to>
    <xdr:sp macro="" textlink="">
      <xdr:nvSpPr>
        <xdr:cNvPr id="3" name="Šipka doleva 2"/>
        <xdr:cNvSpPr/>
      </xdr:nvSpPr>
      <xdr:spPr>
        <a:xfrm>
          <a:off x="11106150" y="2854325"/>
          <a:ext cx="520700" cy="139700"/>
        </a:xfrm>
        <a:prstGeom prst="leftArrow">
          <a:avLst/>
        </a:prstGeom>
        <a:solidFill>
          <a:srgbClr val="FF0000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cs-CZ"/>
        </a:p>
      </xdr:txBody>
    </xdr:sp>
    <xdr:clientData/>
  </xdr:twoCellAnchor>
  <xdr:twoCellAnchor>
    <xdr:from>
      <xdr:col>15</xdr:col>
      <xdr:colOff>615950</xdr:colOff>
      <xdr:row>3</xdr:row>
      <xdr:rowOff>31750</xdr:rowOff>
    </xdr:from>
    <xdr:to>
      <xdr:col>15</xdr:col>
      <xdr:colOff>1136401</xdr:colOff>
      <xdr:row>3</xdr:row>
      <xdr:rowOff>169659</xdr:rowOff>
    </xdr:to>
    <xdr:sp macro="" textlink="">
      <xdr:nvSpPr>
        <xdr:cNvPr id="4" name="Šipka doleva 3"/>
        <xdr:cNvSpPr/>
      </xdr:nvSpPr>
      <xdr:spPr>
        <a:xfrm>
          <a:off x="11128375" y="1212850"/>
          <a:ext cx="520700" cy="139700"/>
        </a:xfrm>
        <a:prstGeom prst="lef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cs-CZ"/>
        </a:p>
      </xdr:txBody>
    </xdr:sp>
    <xdr:clientData/>
  </xdr:twoCellAnchor>
  <xdr:twoCellAnchor>
    <xdr:from>
      <xdr:col>15</xdr:col>
      <xdr:colOff>638175</xdr:colOff>
      <xdr:row>23</xdr:row>
      <xdr:rowOff>9525</xdr:rowOff>
    </xdr:from>
    <xdr:to>
      <xdr:col>15</xdr:col>
      <xdr:colOff>1160595</xdr:colOff>
      <xdr:row>23</xdr:row>
      <xdr:rowOff>149225</xdr:rowOff>
    </xdr:to>
    <xdr:sp macro="" textlink="">
      <xdr:nvSpPr>
        <xdr:cNvPr id="5" name="Šipka doleva 4"/>
        <xdr:cNvSpPr/>
      </xdr:nvSpPr>
      <xdr:spPr>
        <a:xfrm>
          <a:off x="11150600" y="5267325"/>
          <a:ext cx="520700" cy="139700"/>
        </a:xfrm>
        <a:prstGeom prst="leftArrow">
          <a:avLst/>
        </a:prstGeom>
        <a:solidFill>
          <a:srgbClr val="FF0000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cs-CZ"/>
        </a:p>
      </xdr:txBody>
    </xdr:sp>
    <xdr:clientData/>
  </xdr:twoCellAnchor>
  <xdr:twoCellAnchor>
    <xdr:from>
      <xdr:col>15</xdr:col>
      <xdr:colOff>663575</xdr:colOff>
      <xdr:row>27</xdr:row>
      <xdr:rowOff>57150</xdr:rowOff>
    </xdr:from>
    <xdr:to>
      <xdr:col>15</xdr:col>
      <xdr:colOff>1179966</xdr:colOff>
      <xdr:row>28</xdr:row>
      <xdr:rowOff>793</xdr:rowOff>
    </xdr:to>
    <xdr:sp macro="" textlink="">
      <xdr:nvSpPr>
        <xdr:cNvPr id="6" name="Šipka doleva 5"/>
        <xdr:cNvSpPr/>
      </xdr:nvSpPr>
      <xdr:spPr>
        <a:xfrm>
          <a:off x="11172825" y="6118225"/>
          <a:ext cx="520700" cy="139700"/>
        </a:xfrm>
        <a:prstGeom prst="leftArrow">
          <a:avLst/>
        </a:prstGeom>
        <a:solidFill>
          <a:srgbClr val="FF0000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cs-CZ"/>
        </a:p>
      </xdr:txBody>
    </xdr:sp>
    <xdr:clientData/>
  </xdr:twoCellAnchor>
  <xdr:twoCellAnchor editAs="oneCell">
    <xdr:from>
      <xdr:col>79</xdr:col>
      <xdr:colOff>1009650</xdr:colOff>
      <xdr:row>19</xdr:row>
      <xdr:rowOff>200025</xdr:rowOff>
    </xdr:from>
    <xdr:to>
      <xdr:col>79</xdr:col>
      <xdr:colOff>1019175</xdr:colOff>
      <xdr:row>20</xdr:row>
      <xdr:rowOff>142875</xdr:rowOff>
    </xdr:to>
    <xdr:sp macro="" textlink="">
      <xdr:nvSpPr>
        <xdr:cNvPr id="315361" name="Rectangle 28"/>
        <xdr:cNvSpPr>
          <a:spLocks noChangeArrowheads="1"/>
        </xdr:cNvSpPr>
      </xdr:nvSpPr>
      <xdr:spPr bwMode="auto">
        <a:xfrm>
          <a:off x="59169300" y="45720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79</xdr:col>
      <xdr:colOff>1009650</xdr:colOff>
      <xdr:row>42</xdr:row>
      <xdr:rowOff>171450</xdr:rowOff>
    </xdr:from>
    <xdr:to>
      <xdr:col>79</xdr:col>
      <xdr:colOff>1019175</xdr:colOff>
      <xdr:row>43</xdr:row>
      <xdr:rowOff>123825</xdr:rowOff>
    </xdr:to>
    <xdr:sp macro="" textlink="">
      <xdr:nvSpPr>
        <xdr:cNvPr id="315362" name="Rectangle 28"/>
        <xdr:cNvSpPr>
          <a:spLocks noChangeArrowheads="1"/>
        </xdr:cNvSpPr>
      </xdr:nvSpPr>
      <xdr:spPr bwMode="auto">
        <a:xfrm>
          <a:off x="59169300" y="91440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79</xdr:col>
      <xdr:colOff>1009650</xdr:colOff>
      <xdr:row>32</xdr:row>
      <xdr:rowOff>190500</xdr:rowOff>
    </xdr:from>
    <xdr:to>
      <xdr:col>79</xdr:col>
      <xdr:colOff>1019175</xdr:colOff>
      <xdr:row>33</xdr:row>
      <xdr:rowOff>142875</xdr:rowOff>
    </xdr:to>
    <xdr:sp macro="" textlink="">
      <xdr:nvSpPr>
        <xdr:cNvPr id="315363" name="Rectangle 28"/>
        <xdr:cNvSpPr>
          <a:spLocks noChangeArrowheads="1"/>
        </xdr:cNvSpPr>
      </xdr:nvSpPr>
      <xdr:spPr bwMode="auto">
        <a:xfrm>
          <a:off x="59169300" y="71628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79</xdr:col>
      <xdr:colOff>1009650</xdr:colOff>
      <xdr:row>27</xdr:row>
      <xdr:rowOff>142875</xdr:rowOff>
    </xdr:from>
    <xdr:to>
      <xdr:col>79</xdr:col>
      <xdr:colOff>1019175</xdr:colOff>
      <xdr:row>28</xdr:row>
      <xdr:rowOff>104775</xdr:rowOff>
    </xdr:to>
    <xdr:sp macro="" textlink="">
      <xdr:nvSpPr>
        <xdr:cNvPr id="315364" name="Rectangle 27"/>
        <xdr:cNvSpPr>
          <a:spLocks noChangeArrowheads="1"/>
        </xdr:cNvSpPr>
      </xdr:nvSpPr>
      <xdr:spPr bwMode="auto">
        <a:xfrm>
          <a:off x="59169300" y="611505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79</xdr:col>
      <xdr:colOff>1009650</xdr:colOff>
      <xdr:row>26</xdr:row>
      <xdr:rowOff>123825</xdr:rowOff>
    </xdr:from>
    <xdr:to>
      <xdr:col>79</xdr:col>
      <xdr:colOff>1019175</xdr:colOff>
      <xdr:row>27</xdr:row>
      <xdr:rowOff>76200</xdr:rowOff>
    </xdr:to>
    <xdr:sp macro="" textlink="">
      <xdr:nvSpPr>
        <xdr:cNvPr id="315365" name="Rectangle 28"/>
        <xdr:cNvSpPr>
          <a:spLocks noChangeArrowheads="1"/>
        </xdr:cNvSpPr>
      </xdr:nvSpPr>
      <xdr:spPr bwMode="auto">
        <a:xfrm>
          <a:off x="59169300" y="58959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79</xdr:col>
      <xdr:colOff>1009650</xdr:colOff>
      <xdr:row>52</xdr:row>
      <xdr:rowOff>161925</xdr:rowOff>
    </xdr:from>
    <xdr:to>
      <xdr:col>79</xdr:col>
      <xdr:colOff>1019175</xdr:colOff>
      <xdr:row>53</xdr:row>
      <xdr:rowOff>123825</xdr:rowOff>
    </xdr:to>
    <xdr:sp macro="" textlink="">
      <xdr:nvSpPr>
        <xdr:cNvPr id="315366" name="Rectangle 27"/>
        <xdr:cNvSpPr>
          <a:spLocks noChangeArrowheads="1"/>
        </xdr:cNvSpPr>
      </xdr:nvSpPr>
      <xdr:spPr bwMode="auto">
        <a:xfrm>
          <a:off x="59169300" y="111347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79</xdr:col>
      <xdr:colOff>228600</xdr:colOff>
      <xdr:row>23</xdr:row>
      <xdr:rowOff>9525</xdr:rowOff>
    </xdr:from>
    <xdr:to>
      <xdr:col>79</xdr:col>
      <xdr:colOff>247650</xdr:colOff>
      <xdr:row>23</xdr:row>
      <xdr:rowOff>152400</xdr:rowOff>
    </xdr:to>
    <xdr:sp macro="" textlink="">
      <xdr:nvSpPr>
        <xdr:cNvPr id="315367" name="Rectangle 28"/>
        <xdr:cNvSpPr>
          <a:spLocks noChangeArrowheads="1"/>
        </xdr:cNvSpPr>
      </xdr:nvSpPr>
      <xdr:spPr bwMode="auto">
        <a:xfrm>
          <a:off x="58388250" y="5181600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79</xdr:col>
      <xdr:colOff>228600</xdr:colOff>
      <xdr:row>41</xdr:row>
      <xdr:rowOff>190500</xdr:rowOff>
    </xdr:from>
    <xdr:to>
      <xdr:col>79</xdr:col>
      <xdr:colOff>247650</xdr:colOff>
      <xdr:row>42</xdr:row>
      <xdr:rowOff>142875</xdr:rowOff>
    </xdr:to>
    <xdr:sp macro="" textlink="">
      <xdr:nvSpPr>
        <xdr:cNvPr id="315368" name="Rectangle 28"/>
        <xdr:cNvSpPr>
          <a:spLocks noChangeArrowheads="1"/>
        </xdr:cNvSpPr>
      </xdr:nvSpPr>
      <xdr:spPr bwMode="auto">
        <a:xfrm>
          <a:off x="58388250" y="8963025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79</xdr:col>
      <xdr:colOff>1009650</xdr:colOff>
      <xdr:row>14</xdr:row>
      <xdr:rowOff>123825</xdr:rowOff>
    </xdr:from>
    <xdr:to>
      <xdr:col>79</xdr:col>
      <xdr:colOff>1019175</xdr:colOff>
      <xdr:row>15</xdr:row>
      <xdr:rowOff>66675</xdr:rowOff>
    </xdr:to>
    <xdr:sp macro="" textlink="">
      <xdr:nvSpPr>
        <xdr:cNvPr id="315369" name="Rectangle 28"/>
        <xdr:cNvSpPr>
          <a:spLocks noChangeArrowheads="1"/>
        </xdr:cNvSpPr>
      </xdr:nvSpPr>
      <xdr:spPr bwMode="auto">
        <a:xfrm>
          <a:off x="59169300" y="3495675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79</xdr:col>
      <xdr:colOff>1009650</xdr:colOff>
      <xdr:row>32</xdr:row>
      <xdr:rowOff>190500</xdr:rowOff>
    </xdr:from>
    <xdr:to>
      <xdr:col>79</xdr:col>
      <xdr:colOff>1019175</xdr:colOff>
      <xdr:row>33</xdr:row>
      <xdr:rowOff>142875</xdr:rowOff>
    </xdr:to>
    <xdr:sp macro="" textlink="">
      <xdr:nvSpPr>
        <xdr:cNvPr id="315370" name="Rectangle 28"/>
        <xdr:cNvSpPr>
          <a:spLocks noChangeArrowheads="1"/>
        </xdr:cNvSpPr>
      </xdr:nvSpPr>
      <xdr:spPr bwMode="auto">
        <a:xfrm>
          <a:off x="59169300" y="71628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79</xdr:col>
      <xdr:colOff>1009650</xdr:colOff>
      <xdr:row>9</xdr:row>
      <xdr:rowOff>57150</xdr:rowOff>
    </xdr:from>
    <xdr:to>
      <xdr:col>79</xdr:col>
      <xdr:colOff>1019175</xdr:colOff>
      <xdr:row>10</xdr:row>
      <xdr:rowOff>0</xdr:rowOff>
    </xdr:to>
    <xdr:sp macro="" textlink="">
      <xdr:nvSpPr>
        <xdr:cNvPr id="315371" name="Rectangle 27"/>
        <xdr:cNvSpPr>
          <a:spLocks noChangeArrowheads="1"/>
        </xdr:cNvSpPr>
      </xdr:nvSpPr>
      <xdr:spPr bwMode="auto">
        <a:xfrm>
          <a:off x="59169300" y="2428875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79</xdr:col>
      <xdr:colOff>1009650</xdr:colOff>
      <xdr:row>47</xdr:row>
      <xdr:rowOff>104775</xdr:rowOff>
    </xdr:from>
    <xdr:to>
      <xdr:col>79</xdr:col>
      <xdr:colOff>1019175</xdr:colOff>
      <xdr:row>48</xdr:row>
      <xdr:rowOff>57150</xdr:rowOff>
    </xdr:to>
    <xdr:sp macro="" textlink="">
      <xdr:nvSpPr>
        <xdr:cNvPr id="315372" name="Rectangle 27"/>
        <xdr:cNvSpPr>
          <a:spLocks noChangeArrowheads="1"/>
        </xdr:cNvSpPr>
      </xdr:nvSpPr>
      <xdr:spPr bwMode="auto">
        <a:xfrm>
          <a:off x="59169300" y="100774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79</xdr:col>
      <xdr:colOff>1009650</xdr:colOff>
      <xdr:row>48</xdr:row>
      <xdr:rowOff>57150</xdr:rowOff>
    </xdr:from>
    <xdr:to>
      <xdr:col>79</xdr:col>
      <xdr:colOff>1019175</xdr:colOff>
      <xdr:row>49</xdr:row>
      <xdr:rowOff>0</xdr:rowOff>
    </xdr:to>
    <xdr:sp macro="" textlink="">
      <xdr:nvSpPr>
        <xdr:cNvPr id="315373" name="Rectangle 28"/>
        <xdr:cNvSpPr>
          <a:spLocks noChangeArrowheads="1"/>
        </xdr:cNvSpPr>
      </xdr:nvSpPr>
      <xdr:spPr bwMode="auto">
        <a:xfrm>
          <a:off x="59169300" y="1022985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79</xdr:col>
      <xdr:colOff>228600</xdr:colOff>
      <xdr:row>23</xdr:row>
      <xdr:rowOff>9525</xdr:rowOff>
    </xdr:from>
    <xdr:to>
      <xdr:col>79</xdr:col>
      <xdr:colOff>247650</xdr:colOff>
      <xdr:row>23</xdr:row>
      <xdr:rowOff>152400</xdr:rowOff>
    </xdr:to>
    <xdr:sp macro="" textlink="">
      <xdr:nvSpPr>
        <xdr:cNvPr id="315374" name="Rectangle 28"/>
        <xdr:cNvSpPr>
          <a:spLocks noChangeArrowheads="1"/>
        </xdr:cNvSpPr>
      </xdr:nvSpPr>
      <xdr:spPr bwMode="auto">
        <a:xfrm>
          <a:off x="58388250" y="5181600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79</xdr:col>
      <xdr:colOff>228600</xdr:colOff>
      <xdr:row>23</xdr:row>
      <xdr:rowOff>95250</xdr:rowOff>
    </xdr:from>
    <xdr:to>
      <xdr:col>79</xdr:col>
      <xdr:colOff>247650</xdr:colOff>
      <xdr:row>24</xdr:row>
      <xdr:rowOff>38100</xdr:rowOff>
    </xdr:to>
    <xdr:sp macro="" textlink="">
      <xdr:nvSpPr>
        <xdr:cNvPr id="315375" name="Rectangle 28"/>
        <xdr:cNvSpPr>
          <a:spLocks noChangeArrowheads="1"/>
        </xdr:cNvSpPr>
      </xdr:nvSpPr>
      <xdr:spPr bwMode="auto">
        <a:xfrm>
          <a:off x="58388250" y="5267325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79</xdr:col>
      <xdr:colOff>1009650</xdr:colOff>
      <xdr:row>6</xdr:row>
      <xdr:rowOff>161925</xdr:rowOff>
    </xdr:from>
    <xdr:to>
      <xdr:col>79</xdr:col>
      <xdr:colOff>1019175</xdr:colOff>
      <xdr:row>7</xdr:row>
      <xdr:rowOff>123825</xdr:rowOff>
    </xdr:to>
    <xdr:sp macro="" textlink="">
      <xdr:nvSpPr>
        <xdr:cNvPr id="315376" name="Rectangle 28"/>
        <xdr:cNvSpPr>
          <a:spLocks noChangeArrowheads="1"/>
        </xdr:cNvSpPr>
      </xdr:nvSpPr>
      <xdr:spPr bwMode="auto">
        <a:xfrm>
          <a:off x="59169300" y="19335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75</xdr:col>
      <xdr:colOff>600075</xdr:colOff>
      <xdr:row>10</xdr:row>
      <xdr:rowOff>142875</xdr:rowOff>
    </xdr:from>
    <xdr:to>
      <xdr:col>76</xdr:col>
      <xdr:colOff>9525</xdr:colOff>
      <xdr:row>11</xdr:row>
      <xdr:rowOff>123825</xdr:rowOff>
    </xdr:to>
    <xdr:sp macro="" textlink="">
      <xdr:nvSpPr>
        <xdr:cNvPr id="315377" name="Rectangle 28"/>
        <xdr:cNvSpPr>
          <a:spLocks noChangeArrowheads="1"/>
        </xdr:cNvSpPr>
      </xdr:nvSpPr>
      <xdr:spPr bwMode="auto">
        <a:xfrm>
          <a:off x="55873650" y="2714625"/>
          <a:ext cx="190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75</xdr:col>
      <xdr:colOff>600075</xdr:colOff>
      <xdr:row>7</xdr:row>
      <xdr:rowOff>76200</xdr:rowOff>
    </xdr:from>
    <xdr:to>
      <xdr:col>76</xdr:col>
      <xdr:colOff>9525</xdr:colOff>
      <xdr:row>8</xdr:row>
      <xdr:rowOff>28575</xdr:rowOff>
    </xdr:to>
    <xdr:sp macro="" textlink="">
      <xdr:nvSpPr>
        <xdr:cNvPr id="315378" name="Rectangle 27"/>
        <xdr:cNvSpPr>
          <a:spLocks noChangeArrowheads="1"/>
        </xdr:cNvSpPr>
      </xdr:nvSpPr>
      <xdr:spPr bwMode="auto">
        <a:xfrm>
          <a:off x="55873650" y="2047875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75</xdr:col>
      <xdr:colOff>600075</xdr:colOff>
      <xdr:row>5</xdr:row>
      <xdr:rowOff>76200</xdr:rowOff>
    </xdr:from>
    <xdr:to>
      <xdr:col>76</xdr:col>
      <xdr:colOff>9525</xdr:colOff>
      <xdr:row>6</xdr:row>
      <xdr:rowOff>57150</xdr:rowOff>
    </xdr:to>
    <xdr:sp macro="" textlink="">
      <xdr:nvSpPr>
        <xdr:cNvPr id="315379" name="Rectangle 28"/>
        <xdr:cNvSpPr>
          <a:spLocks noChangeArrowheads="1"/>
        </xdr:cNvSpPr>
      </xdr:nvSpPr>
      <xdr:spPr bwMode="auto">
        <a:xfrm>
          <a:off x="55873650" y="1647825"/>
          <a:ext cx="190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78</xdr:col>
      <xdr:colOff>238125</xdr:colOff>
      <xdr:row>10</xdr:row>
      <xdr:rowOff>142875</xdr:rowOff>
    </xdr:from>
    <xdr:to>
      <xdr:col>79</xdr:col>
      <xdr:colOff>0</xdr:colOff>
      <xdr:row>11</xdr:row>
      <xdr:rowOff>123825</xdr:rowOff>
    </xdr:to>
    <xdr:sp macro="" textlink="">
      <xdr:nvSpPr>
        <xdr:cNvPr id="315380" name="Rectangle 28"/>
        <xdr:cNvSpPr>
          <a:spLocks noChangeArrowheads="1"/>
        </xdr:cNvSpPr>
      </xdr:nvSpPr>
      <xdr:spPr bwMode="auto">
        <a:xfrm>
          <a:off x="58150125" y="2714625"/>
          <a:ext cx="95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78</xdr:col>
      <xdr:colOff>238125</xdr:colOff>
      <xdr:row>7</xdr:row>
      <xdr:rowOff>76200</xdr:rowOff>
    </xdr:from>
    <xdr:to>
      <xdr:col>79</xdr:col>
      <xdr:colOff>0</xdr:colOff>
      <xdr:row>8</xdr:row>
      <xdr:rowOff>28575</xdr:rowOff>
    </xdr:to>
    <xdr:sp macro="" textlink="">
      <xdr:nvSpPr>
        <xdr:cNvPr id="315381" name="Rectangle 27"/>
        <xdr:cNvSpPr>
          <a:spLocks noChangeArrowheads="1"/>
        </xdr:cNvSpPr>
      </xdr:nvSpPr>
      <xdr:spPr bwMode="auto">
        <a:xfrm>
          <a:off x="58150125" y="20478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78</xdr:col>
      <xdr:colOff>238125</xdr:colOff>
      <xdr:row>5</xdr:row>
      <xdr:rowOff>76200</xdr:rowOff>
    </xdr:from>
    <xdr:to>
      <xdr:col>79</xdr:col>
      <xdr:colOff>0</xdr:colOff>
      <xdr:row>6</xdr:row>
      <xdr:rowOff>57150</xdr:rowOff>
    </xdr:to>
    <xdr:sp macro="" textlink="">
      <xdr:nvSpPr>
        <xdr:cNvPr id="315382" name="Rectangle 28"/>
        <xdr:cNvSpPr>
          <a:spLocks noChangeArrowheads="1"/>
        </xdr:cNvSpPr>
      </xdr:nvSpPr>
      <xdr:spPr bwMode="auto">
        <a:xfrm>
          <a:off x="58150125" y="1647825"/>
          <a:ext cx="95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81</xdr:col>
      <xdr:colOff>238125</xdr:colOff>
      <xdr:row>10</xdr:row>
      <xdr:rowOff>142875</xdr:rowOff>
    </xdr:from>
    <xdr:to>
      <xdr:col>82</xdr:col>
      <xdr:colOff>0</xdr:colOff>
      <xdr:row>11</xdr:row>
      <xdr:rowOff>123825</xdr:rowOff>
    </xdr:to>
    <xdr:sp macro="" textlink="">
      <xdr:nvSpPr>
        <xdr:cNvPr id="315383" name="Rectangle 28"/>
        <xdr:cNvSpPr>
          <a:spLocks noChangeArrowheads="1"/>
        </xdr:cNvSpPr>
      </xdr:nvSpPr>
      <xdr:spPr bwMode="auto">
        <a:xfrm>
          <a:off x="60426600" y="2714625"/>
          <a:ext cx="95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81</xdr:col>
      <xdr:colOff>238125</xdr:colOff>
      <xdr:row>7</xdr:row>
      <xdr:rowOff>76200</xdr:rowOff>
    </xdr:from>
    <xdr:to>
      <xdr:col>82</xdr:col>
      <xdr:colOff>0</xdr:colOff>
      <xdr:row>8</xdr:row>
      <xdr:rowOff>28575</xdr:rowOff>
    </xdr:to>
    <xdr:sp macro="" textlink="">
      <xdr:nvSpPr>
        <xdr:cNvPr id="315384" name="Rectangle 27"/>
        <xdr:cNvSpPr>
          <a:spLocks noChangeArrowheads="1"/>
        </xdr:cNvSpPr>
      </xdr:nvSpPr>
      <xdr:spPr bwMode="auto">
        <a:xfrm>
          <a:off x="60426600" y="20478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81</xdr:col>
      <xdr:colOff>238125</xdr:colOff>
      <xdr:row>5</xdr:row>
      <xdr:rowOff>76200</xdr:rowOff>
    </xdr:from>
    <xdr:to>
      <xdr:col>82</xdr:col>
      <xdr:colOff>0</xdr:colOff>
      <xdr:row>6</xdr:row>
      <xdr:rowOff>57150</xdr:rowOff>
    </xdr:to>
    <xdr:sp macro="" textlink="">
      <xdr:nvSpPr>
        <xdr:cNvPr id="315385" name="Rectangle 28"/>
        <xdr:cNvSpPr>
          <a:spLocks noChangeArrowheads="1"/>
        </xdr:cNvSpPr>
      </xdr:nvSpPr>
      <xdr:spPr bwMode="auto">
        <a:xfrm>
          <a:off x="60426600" y="1647825"/>
          <a:ext cx="95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76</xdr:col>
      <xdr:colOff>352425</xdr:colOff>
      <xdr:row>47</xdr:row>
      <xdr:rowOff>9525</xdr:rowOff>
    </xdr:from>
    <xdr:to>
      <xdr:col>76</xdr:col>
      <xdr:colOff>371475</xdr:colOff>
      <xdr:row>47</xdr:row>
      <xdr:rowOff>152400</xdr:rowOff>
    </xdr:to>
    <xdr:sp macro="" textlink="">
      <xdr:nvSpPr>
        <xdr:cNvPr id="315386" name="Rectangle 27"/>
        <xdr:cNvSpPr>
          <a:spLocks noChangeArrowheads="1"/>
        </xdr:cNvSpPr>
      </xdr:nvSpPr>
      <xdr:spPr bwMode="auto">
        <a:xfrm>
          <a:off x="56235600" y="9982200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76</xdr:col>
      <xdr:colOff>352425</xdr:colOff>
      <xdr:row>39</xdr:row>
      <xdr:rowOff>200025</xdr:rowOff>
    </xdr:from>
    <xdr:to>
      <xdr:col>76</xdr:col>
      <xdr:colOff>381000</xdr:colOff>
      <xdr:row>40</xdr:row>
      <xdr:rowOff>142875</xdr:rowOff>
    </xdr:to>
    <xdr:sp macro="" textlink="">
      <xdr:nvSpPr>
        <xdr:cNvPr id="315387" name="Rectangle 27"/>
        <xdr:cNvSpPr>
          <a:spLocks noChangeArrowheads="1"/>
        </xdr:cNvSpPr>
      </xdr:nvSpPr>
      <xdr:spPr bwMode="auto">
        <a:xfrm>
          <a:off x="56235600" y="8572500"/>
          <a:ext cx="285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76</xdr:col>
      <xdr:colOff>352425</xdr:colOff>
      <xdr:row>40</xdr:row>
      <xdr:rowOff>142875</xdr:rowOff>
    </xdr:from>
    <xdr:to>
      <xdr:col>76</xdr:col>
      <xdr:colOff>381000</xdr:colOff>
      <xdr:row>41</xdr:row>
      <xdr:rowOff>76200</xdr:rowOff>
    </xdr:to>
    <xdr:sp macro="" textlink="">
      <xdr:nvSpPr>
        <xdr:cNvPr id="315388" name="Rectangle 28"/>
        <xdr:cNvSpPr>
          <a:spLocks noChangeArrowheads="1"/>
        </xdr:cNvSpPr>
      </xdr:nvSpPr>
      <xdr:spPr bwMode="auto">
        <a:xfrm>
          <a:off x="56235600" y="8715375"/>
          <a:ext cx="285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76</xdr:col>
      <xdr:colOff>352425</xdr:colOff>
      <xdr:row>43</xdr:row>
      <xdr:rowOff>190500</xdr:rowOff>
    </xdr:from>
    <xdr:to>
      <xdr:col>76</xdr:col>
      <xdr:colOff>381000</xdr:colOff>
      <xdr:row>44</xdr:row>
      <xdr:rowOff>142875</xdr:rowOff>
    </xdr:to>
    <xdr:sp macro="" textlink="">
      <xdr:nvSpPr>
        <xdr:cNvPr id="315389" name="Rectangle 27"/>
        <xdr:cNvSpPr>
          <a:spLocks noChangeArrowheads="1"/>
        </xdr:cNvSpPr>
      </xdr:nvSpPr>
      <xdr:spPr bwMode="auto">
        <a:xfrm>
          <a:off x="56235600" y="9363075"/>
          <a:ext cx="285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76</xdr:col>
      <xdr:colOff>352425</xdr:colOff>
      <xdr:row>42</xdr:row>
      <xdr:rowOff>190500</xdr:rowOff>
    </xdr:from>
    <xdr:to>
      <xdr:col>76</xdr:col>
      <xdr:colOff>381000</xdr:colOff>
      <xdr:row>43</xdr:row>
      <xdr:rowOff>133350</xdr:rowOff>
    </xdr:to>
    <xdr:sp macro="" textlink="">
      <xdr:nvSpPr>
        <xdr:cNvPr id="315390" name="Rectangle 28"/>
        <xdr:cNvSpPr>
          <a:spLocks noChangeArrowheads="1"/>
        </xdr:cNvSpPr>
      </xdr:nvSpPr>
      <xdr:spPr bwMode="auto">
        <a:xfrm>
          <a:off x="56235600" y="9163050"/>
          <a:ext cx="285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76</xdr:col>
      <xdr:colOff>352425</xdr:colOff>
      <xdr:row>41</xdr:row>
      <xdr:rowOff>57150</xdr:rowOff>
    </xdr:from>
    <xdr:to>
      <xdr:col>76</xdr:col>
      <xdr:colOff>381000</xdr:colOff>
      <xdr:row>42</xdr:row>
      <xdr:rowOff>0</xdr:rowOff>
    </xdr:to>
    <xdr:sp macro="" textlink="">
      <xdr:nvSpPr>
        <xdr:cNvPr id="315391" name="Rectangle 28"/>
        <xdr:cNvSpPr>
          <a:spLocks noChangeArrowheads="1"/>
        </xdr:cNvSpPr>
      </xdr:nvSpPr>
      <xdr:spPr bwMode="auto">
        <a:xfrm>
          <a:off x="56235600" y="8829675"/>
          <a:ext cx="285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76</xdr:col>
      <xdr:colOff>352425</xdr:colOff>
      <xdr:row>34</xdr:row>
      <xdr:rowOff>190500</xdr:rowOff>
    </xdr:from>
    <xdr:to>
      <xdr:col>76</xdr:col>
      <xdr:colOff>381000</xdr:colOff>
      <xdr:row>35</xdr:row>
      <xdr:rowOff>133350</xdr:rowOff>
    </xdr:to>
    <xdr:sp macro="" textlink="">
      <xdr:nvSpPr>
        <xdr:cNvPr id="315392" name="Rectangle 27"/>
        <xdr:cNvSpPr>
          <a:spLocks noChangeArrowheads="1"/>
        </xdr:cNvSpPr>
      </xdr:nvSpPr>
      <xdr:spPr bwMode="auto">
        <a:xfrm>
          <a:off x="56235600" y="7562850"/>
          <a:ext cx="285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76</xdr:col>
      <xdr:colOff>352425</xdr:colOff>
      <xdr:row>31</xdr:row>
      <xdr:rowOff>161925</xdr:rowOff>
    </xdr:from>
    <xdr:to>
      <xdr:col>76</xdr:col>
      <xdr:colOff>381000</xdr:colOff>
      <xdr:row>32</xdr:row>
      <xdr:rowOff>123825</xdr:rowOff>
    </xdr:to>
    <xdr:sp macro="" textlink="">
      <xdr:nvSpPr>
        <xdr:cNvPr id="315393" name="Rectangle 27"/>
        <xdr:cNvSpPr>
          <a:spLocks noChangeArrowheads="1"/>
        </xdr:cNvSpPr>
      </xdr:nvSpPr>
      <xdr:spPr bwMode="auto">
        <a:xfrm>
          <a:off x="56235600" y="6934200"/>
          <a:ext cx="285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76</xdr:col>
      <xdr:colOff>352425</xdr:colOff>
      <xdr:row>32</xdr:row>
      <xdr:rowOff>104775</xdr:rowOff>
    </xdr:from>
    <xdr:to>
      <xdr:col>76</xdr:col>
      <xdr:colOff>381000</xdr:colOff>
      <xdr:row>33</xdr:row>
      <xdr:rowOff>57150</xdr:rowOff>
    </xdr:to>
    <xdr:sp macro="" textlink="">
      <xdr:nvSpPr>
        <xdr:cNvPr id="315394" name="Rectangle 28"/>
        <xdr:cNvSpPr>
          <a:spLocks noChangeArrowheads="1"/>
        </xdr:cNvSpPr>
      </xdr:nvSpPr>
      <xdr:spPr bwMode="auto">
        <a:xfrm>
          <a:off x="56235600" y="7077075"/>
          <a:ext cx="285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76</xdr:col>
      <xdr:colOff>352425</xdr:colOff>
      <xdr:row>31</xdr:row>
      <xdr:rowOff>142875</xdr:rowOff>
    </xdr:from>
    <xdr:to>
      <xdr:col>76</xdr:col>
      <xdr:colOff>381000</xdr:colOff>
      <xdr:row>32</xdr:row>
      <xdr:rowOff>95250</xdr:rowOff>
    </xdr:to>
    <xdr:sp macro="" textlink="">
      <xdr:nvSpPr>
        <xdr:cNvPr id="315395" name="Rectangle 27"/>
        <xdr:cNvSpPr>
          <a:spLocks noChangeArrowheads="1"/>
        </xdr:cNvSpPr>
      </xdr:nvSpPr>
      <xdr:spPr bwMode="auto">
        <a:xfrm>
          <a:off x="56235600" y="6915150"/>
          <a:ext cx="285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76</xdr:col>
      <xdr:colOff>352425</xdr:colOff>
      <xdr:row>32</xdr:row>
      <xdr:rowOff>66675</xdr:rowOff>
    </xdr:from>
    <xdr:to>
      <xdr:col>76</xdr:col>
      <xdr:colOff>381000</xdr:colOff>
      <xdr:row>33</xdr:row>
      <xdr:rowOff>9525</xdr:rowOff>
    </xdr:to>
    <xdr:sp macro="" textlink="">
      <xdr:nvSpPr>
        <xdr:cNvPr id="315396" name="Rectangle 28"/>
        <xdr:cNvSpPr>
          <a:spLocks noChangeArrowheads="1"/>
        </xdr:cNvSpPr>
      </xdr:nvSpPr>
      <xdr:spPr bwMode="auto">
        <a:xfrm>
          <a:off x="56235600" y="7038975"/>
          <a:ext cx="285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76</xdr:col>
      <xdr:colOff>352425</xdr:colOff>
      <xdr:row>10</xdr:row>
      <xdr:rowOff>0</xdr:rowOff>
    </xdr:from>
    <xdr:to>
      <xdr:col>76</xdr:col>
      <xdr:colOff>371475</xdr:colOff>
      <xdr:row>10</xdr:row>
      <xdr:rowOff>142875</xdr:rowOff>
    </xdr:to>
    <xdr:sp macro="" textlink="">
      <xdr:nvSpPr>
        <xdr:cNvPr id="315397" name="Rectangle 27"/>
        <xdr:cNvSpPr>
          <a:spLocks noChangeArrowheads="1"/>
        </xdr:cNvSpPr>
      </xdr:nvSpPr>
      <xdr:spPr bwMode="auto">
        <a:xfrm>
          <a:off x="56235600" y="2571750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76</xdr:col>
      <xdr:colOff>352425</xdr:colOff>
      <xdr:row>29</xdr:row>
      <xdr:rowOff>66675</xdr:rowOff>
    </xdr:from>
    <xdr:to>
      <xdr:col>76</xdr:col>
      <xdr:colOff>381000</xdr:colOff>
      <xdr:row>30</xdr:row>
      <xdr:rowOff>9525</xdr:rowOff>
    </xdr:to>
    <xdr:sp macro="" textlink="">
      <xdr:nvSpPr>
        <xdr:cNvPr id="315398" name="Rectangle 28"/>
        <xdr:cNvSpPr>
          <a:spLocks noChangeArrowheads="1"/>
        </xdr:cNvSpPr>
      </xdr:nvSpPr>
      <xdr:spPr bwMode="auto">
        <a:xfrm>
          <a:off x="56235600" y="6438900"/>
          <a:ext cx="285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76</xdr:col>
      <xdr:colOff>352425</xdr:colOff>
      <xdr:row>21</xdr:row>
      <xdr:rowOff>200025</xdr:rowOff>
    </xdr:from>
    <xdr:to>
      <xdr:col>76</xdr:col>
      <xdr:colOff>381000</xdr:colOff>
      <xdr:row>22</xdr:row>
      <xdr:rowOff>142875</xdr:rowOff>
    </xdr:to>
    <xdr:sp macro="" textlink="">
      <xdr:nvSpPr>
        <xdr:cNvPr id="315399" name="Rectangle 28"/>
        <xdr:cNvSpPr>
          <a:spLocks noChangeArrowheads="1"/>
        </xdr:cNvSpPr>
      </xdr:nvSpPr>
      <xdr:spPr bwMode="auto">
        <a:xfrm>
          <a:off x="56235600" y="4972050"/>
          <a:ext cx="285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76</xdr:col>
      <xdr:colOff>352425</xdr:colOff>
      <xdr:row>29</xdr:row>
      <xdr:rowOff>76200</xdr:rowOff>
    </xdr:from>
    <xdr:to>
      <xdr:col>76</xdr:col>
      <xdr:colOff>381000</xdr:colOff>
      <xdr:row>30</xdr:row>
      <xdr:rowOff>9525</xdr:rowOff>
    </xdr:to>
    <xdr:sp macro="" textlink="">
      <xdr:nvSpPr>
        <xdr:cNvPr id="315400" name="Rectangle 28"/>
        <xdr:cNvSpPr>
          <a:spLocks noChangeArrowheads="1"/>
        </xdr:cNvSpPr>
      </xdr:nvSpPr>
      <xdr:spPr bwMode="auto">
        <a:xfrm>
          <a:off x="56235600" y="6448425"/>
          <a:ext cx="285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76</xdr:col>
      <xdr:colOff>352425</xdr:colOff>
      <xdr:row>28</xdr:row>
      <xdr:rowOff>66675</xdr:rowOff>
    </xdr:from>
    <xdr:to>
      <xdr:col>76</xdr:col>
      <xdr:colOff>381000</xdr:colOff>
      <xdr:row>29</xdr:row>
      <xdr:rowOff>9525</xdr:rowOff>
    </xdr:to>
    <xdr:sp macro="" textlink="">
      <xdr:nvSpPr>
        <xdr:cNvPr id="315401" name="Rectangle 28"/>
        <xdr:cNvSpPr>
          <a:spLocks noChangeArrowheads="1"/>
        </xdr:cNvSpPr>
      </xdr:nvSpPr>
      <xdr:spPr bwMode="auto">
        <a:xfrm>
          <a:off x="56235600" y="6238875"/>
          <a:ext cx="285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76</xdr:col>
      <xdr:colOff>352425</xdr:colOff>
      <xdr:row>21</xdr:row>
      <xdr:rowOff>200025</xdr:rowOff>
    </xdr:from>
    <xdr:to>
      <xdr:col>76</xdr:col>
      <xdr:colOff>381000</xdr:colOff>
      <xdr:row>22</xdr:row>
      <xdr:rowOff>142875</xdr:rowOff>
    </xdr:to>
    <xdr:sp macro="" textlink="">
      <xdr:nvSpPr>
        <xdr:cNvPr id="315402" name="Rectangle 28"/>
        <xdr:cNvSpPr>
          <a:spLocks noChangeArrowheads="1"/>
        </xdr:cNvSpPr>
      </xdr:nvSpPr>
      <xdr:spPr bwMode="auto">
        <a:xfrm>
          <a:off x="56235600" y="4972050"/>
          <a:ext cx="285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76</xdr:col>
      <xdr:colOff>352425</xdr:colOff>
      <xdr:row>29</xdr:row>
      <xdr:rowOff>76200</xdr:rowOff>
    </xdr:from>
    <xdr:to>
      <xdr:col>76</xdr:col>
      <xdr:colOff>381000</xdr:colOff>
      <xdr:row>30</xdr:row>
      <xdr:rowOff>9525</xdr:rowOff>
    </xdr:to>
    <xdr:sp macro="" textlink="">
      <xdr:nvSpPr>
        <xdr:cNvPr id="315403" name="Rectangle 28"/>
        <xdr:cNvSpPr>
          <a:spLocks noChangeArrowheads="1"/>
        </xdr:cNvSpPr>
      </xdr:nvSpPr>
      <xdr:spPr bwMode="auto">
        <a:xfrm>
          <a:off x="56235600" y="6448425"/>
          <a:ext cx="285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76</xdr:col>
      <xdr:colOff>352425</xdr:colOff>
      <xdr:row>28</xdr:row>
      <xdr:rowOff>66675</xdr:rowOff>
    </xdr:from>
    <xdr:to>
      <xdr:col>76</xdr:col>
      <xdr:colOff>381000</xdr:colOff>
      <xdr:row>29</xdr:row>
      <xdr:rowOff>9525</xdr:rowOff>
    </xdr:to>
    <xdr:sp macro="" textlink="">
      <xdr:nvSpPr>
        <xdr:cNvPr id="315404" name="Rectangle 27"/>
        <xdr:cNvSpPr>
          <a:spLocks noChangeArrowheads="1"/>
        </xdr:cNvSpPr>
      </xdr:nvSpPr>
      <xdr:spPr bwMode="auto">
        <a:xfrm>
          <a:off x="56235600" y="6238875"/>
          <a:ext cx="285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76</xdr:col>
      <xdr:colOff>352425</xdr:colOff>
      <xdr:row>27</xdr:row>
      <xdr:rowOff>66675</xdr:rowOff>
    </xdr:from>
    <xdr:to>
      <xdr:col>76</xdr:col>
      <xdr:colOff>381000</xdr:colOff>
      <xdr:row>28</xdr:row>
      <xdr:rowOff>9525</xdr:rowOff>
    </xdr:to>
    <xdr:sp macro="" textlink="">
      <xdr:nvSpPr>
        <xdr:cNvPr id="315405" name="Rectangle 28"/>
        <xdr:cNvSpPr>
          <a:spLocks noChangeArrowheads="1"/>
        </xdr:cNvSpPr>
      </xdr:nvSpPr>
      <xdr:spPr bwMode="auto">
        <a:xfrm>
          <a:off x="56235600" y="6038850"/>
          <a:ext cx="285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76</xdr:col>
      <xdr:colOff>352425</xdr:colOff>
      <xdr:row>24</xdr:row>
      <xdr:rowOff>142875</xdr:rowOff>
    </xdr:from>
    <xdr:to>
      <xdr:col>76</xdr:col>
      <xdr:colOff>381000</xdr:colOff>
      <xdr:row>25</xdr:row>
      <xdr:rowOff>95250</xdr:rowOff>
    </xdr:to>
    <xdr:sp macro="" textlink="">
      <xdr:nvSpPr>
        <xdr:cNvPr id="315406" name="Rectangle 27"/>
        <xdr:cNvSpPr>
          <a:spLocks noChangeArrowheads="1"/>
        </xdr:cNvSpPr>
      </xdr:nvSpPr>
      <xdr:spPr bwMode="auto">
        <a:xfrm>
          <a:off x="56235600" y="5514975"/>
          <a:ext cx="285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76</xdr:col>
      <xdr:colOff>352425</xdr:colOff>
      <xdr:row>12</xdr:row>
      <xdr:rowOff>123825</xdr:rowOff>
    </xdr:from>
    <xdr:to>
      <xdr:col>76</xdr:col>
      <xdr:colOff>381000</xdr:colOff>
      <xdr:row>13</xdr:row>
      <xdr:rowOff>76200</xdr:rowOff>
    </xdr:to>
    <xdr:sp macro="" textlink="">
      <xdr:nvSpPr>
        <xdr:cNvPr id="315407" name="Rectangle 28"/>
        <xdr:cNvSpPr>
          <a:spLocks noChangeArrowheads="1"/>
        </xdr:cNvSpPr>
      </xdr:nvSpPr>
      <xdr:spPr bwMode="auto">
        <a:xfrm>
          <a:off x="56235600" y="3095625"/>
          <a:ext cx="285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76</xdr:col>
      <xdr:colOff>352425</xdr:colOff>
      <xdr:row>18</xdr:row>
      <xdr:rowOff>123825</xdr:rowOff>
    </xdr:from>
    <xdr:to>
      <xdr:col>76</xdr:col>
      <xdr:colOff>381000</xdr:colOff>
      <xdr:row>19</xdr:row>
      <xdr:rowOff>66675</xdr:rowOff>
    </xdr:to>
    <xdr:sp macro="" textlink="">
      <xdr:nvSpPr>
        <xdr:cNvPr id="315408" name="Rectangle 27"/>
        <xdr:cNvSpPr>
          <a:spLocks noChangeArrowheads="1"/>
        </xdr:cNvSpPr>
      </xdr:nvSpPr>
      <xdr:spPr bwMode="auto">
        <a:xfrm>
          <a:off x="56235600" y="4295775"/>
          <a:ext cx="285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76</xdr:col>
      <xdr:colOff>352425</xdr:colOff>
      <xdr:row>17</xdr:row>
      <xdr:rowOff>76200</xdr:rowOff>
    </xdr:from>
    <xdr:to>
      <xdr:col>76</xdr:col>
      <xdr:colOff>381000</xdr:colOff>
      <xdr:row>18</xdr:row>
      <xdr:rowOff>28575</xdr:rowOff>
    </xdr:to>
    <xdr:sp macro="" textlink="">
      <xdr:nvSpPr>
        <xdr:cNvPr id="315409" name="Rectangle 28"/>
        <xdr:cNvSpPr>
          <a:spLocks noChangeArrowheads="1"/>
        </xdr:cNvSpPr>
      </xdr:nvSpPr>
      <xdr:spPr bwMode="auto">
        <a:xfrm>
          <a:off x="56235600" y="4048125"/>
          <a:ext cx="285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76</xdr:col>
      <xdr:colOff>352425</xdr:colOff>
      <xdr:row>15</xdr:row>
      <xdr:rowOff>190500</xdr:rowOff>
    </xdr:from>
    <xdr:to>
      <xdr:col>76</xdr:col>
      <xdr:colOff>381000</xdr:colOff>
      <xdr:row>16</xdr:row>
      <xdr:rowOff>133350</xdr:rowOff>
    </xdr:to>
    <xdr:sp macro="" textlink="">
      <xdr:nvSpPr>
        <xdr:cNvPr id="315410" name="Rectangle 28"/>
        <xdr:cNvSpPr>
          <a:spLocks noChangeArrowheads="1"/>
        </xdr:cNvSpPr>
      </xdr:nvSpPr>
      <xdr:spPr bwMode="auto">
        <a:xfrm>
          <a:off x="56235600" y="3762375"/>
          <a:ext cx="285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76</xdr:col>
      <xdr:colOff>352425</xdr:colOff>
      <xdr:row>19</xdr:row>
      <xdr:rowOff>57150</xdr:rowOff>
    </xdr:from>
    <xdr:to>
      <xdr:col>76</xdr:col>
      <xdr:colOff>381000</xdr:colOff>
      <xdr:row>20</xdr:row>
      <xdr:rowOff>0</xdr:rowOff>
    </xdr:to>
    <xdr:sp macro="" textlink="">
      <xdr:nvSpPr>
        <xdr:cNvPr id="315411" name="Rectangle 28"/>
        <xdr:cNvSpPr>
          <a:spLocks noChangeArrowheads="1"/>
        </xdr:cNvSpPr>
      </xdr:nvSpPr>
      <xdr:spPr bwMode="auto">
        <a:xfrm>
          <a:off x="56235600" y="4429125"/>
          <a:ext cx="285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76</xdr:col>
      <xdr:colOff>352425</xdr:colOff>
      <xdr:row>19</xdr:row>
      <xdr:rowOff>57150</xdr:rowOff>
    </xdr:from>
    <xdr:to>
      <xdr:col>76</xdr:col>
      <xdr:colOff>381000</xdr:colOff>
      <xdr:row>20</xdr:row>
      <xdr:rowOff>0</xdr:rowOff>
    </xdr:to>
    <xdr:sp macro="" textlink="">
      <xdr:nvSpPr>
        <xdr:cNvPr id="315412" name="Rectangle 28"/>
        <xdr:cNvSpPr>
          <a:spLocks noChangeArrowheads="1"/>
        </xdr:cNvSpPr>
      </xdr:nvSpPr>
      <xdr:spPr bwMode="auto">
        <a:xfrm>
          <a:off x="56235600" y="4429125"/>
          <a:ext cx="285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76</xdr:col>
      <xdr:colOff>352425</xdr:colOff>
      <xdr:row>15</xdr:row>
      <xdr:rowOff>95250</xdr:rowOff>
    </xdr:from>
    <xdr:to>
      <xdr:col>76</xdr:col>
      <xdr:colOff>381000</xdr:colOff>
      <xdr:row>16</xdr:row>
      <xdr:rowOff>57150</xdr:rowOff>
    </xdr:to>
    <xdr:sp macro="" textlink="">
      <xdr:nvSpPr>
        <xdr:cNvPr id="315413" name="Rectangle 28"/>
        <xdr:cNvSpPr>
          <a:spLocks noChangeArrowheads="1"/>
        </xdr:cNvSpPr>
      </xdr:nvSpPr>
      <xdr:spPr bwMode="auto">
        <a:xfrm>
          <a:off x="56235600" y="3667125"/>
          <a:ext cx="285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76</xdr:col>
      <xdr:colOff>352425</xdr:colOff>
      <xdr:row>8</xdr:row>
      <xdr:rowOff>190500</xdr:rowOff>
    </xdr:from>
    <xdr:to>
      <xdr:col>76</xdr:col>
      <xdr:colOff>381000</xdr:colOff>
      <xdr:row>9</xdr:row>
      <xdr:rowOff>142875</xdr:rowOff>
    </xdr:to>
    <xdr:sp macro="" textlink="">
      <xdr:nvSpPr>
        <xdr:cNvPr id="315414" name="Rectangle 28"/>
        <xdr:cNvSpPr>
          <a:spLocks noChangeArrowheads="1"/>
        </xdr:cNvSpPr>
      </xdr:nvSpPr>
      <xdr:spPr bwMode="auto">
        <a:xfrm>
          <a:off x="56235600" y="2362200"/>
          <a:ext cx="285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76</xdr:col>
      <xdr:colOff>352425</xdr:colOff>
      <xdr:row>4</xdr:row>
      <xdr:rowOff>142875</xdr:rowOff>
    </xdr:from>
    <xdr:to>
      <xdr:col>76</xdr:col>
      <xdr:colOff>381000</xdr:colOff>
      <xdr:row>5</xdr:row>
      <xdr:rowOff>104775</xdr:rowOff>
    </xdr:to>
    <xdr:sp macro="" textlink="">
      <xdr:nvSpPr>
        <xdr:cNvPr id="315415" name="Rectangle 27"/>
        <xdr:cNvSpPr>
          <a:spLocks noChangeArrowheads="1"/>
        </xdr:cNvSpPr>
      </xdr:nvSpPr>
      <xdr:spPr bwMode="auto">
        <a:xfrm>
          <a:off x="56235600" y="1514475"/>
          <a:ext cx="285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76</xdr:col>
      <xdr:colOff>352425</xdr:colOff>
      <xdr:row>3</xdr:row>
      <xdr:rowOff>66675</xdr:rowOff>
    </xdr:from>
    <xdr:to>
      <xdr:col>76</xdr:col>
      <xdr:colOff>381000</xdr:colOff>
      <xdr:row>4</xdr:row>
      <xdr:rowOff>9525</xdr:rowOff>
    </xdr:to>
    <xdr:sp macro="" textlink="">
      <xdr:nvSpPr>
        <xdr:cNvPr id="315416" name="Rectangle 28"/>
        <xdr:cNvSpPr>
          <a:spLocks noChangeArrowheads="1"/>
        </xdr:cNvSpPr>
      </xdr:nvSpPr>
      <xdr:spPr bwMode="auto">
        <a:xfrm>
          <a:off x="56235600" y="1238250"/>
          <a:ext cx="285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76</xdr:col>
      <xdr:colOff>352425</xdr:colOff>
      <xdr:row>8</xdr:row>
      <xdr:rowOff>171450</xdr:rowOff>
    </xdr:from>
    <xdr:to>
      <xdr:col>76</xdr:col>
      <xdr:colOff>381000</xdr:colOff>
      <xdr:row>9</xdr:row>
      <xdr:rowOff>123825</xdr:rowOff>
    </xdr:to>
    <xdr:sp macro="" textlink="">
      <xdr:nvSpPr>
        <xdr:cNvPr id="315417" name="Rectangle 28"/>
        <xdr:cNvSpPr>
          <a:spLocks noChangeArrowheads="1"/>
        </xdr:cNvSpPr>
      </xdr:nvSpPr>
      <xdr:spPr bwMode="auto">
        <a:xfrm>
          <a:off x="56235600" y="2343150"/>
          <a:ext cx="285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76</xdr:col>
      <xdr:colOff>352425</xdr:colOff>
      <xdr:row>6</xdr:row>
      <xdr:rowOff>76200</xdr:rowOff>
    </xdr:from>
    <xdr:to>
      <xdr:col>76</xdr:col>
      <xdr:colOff>381000</xdr:colOff>
      <xdr:row>7</xdr:row>
      <xdr:rowOff>28575</xdr:rowOff>
    </xdr:to>
    <xdr:sp macro="" textlink="">
      <xdr:nvSpPr>
        <xdr:cNvPr id="315418" name="Rectangle 27"/>
        <xdr:cNvSpPr>
          <a:spLocks noChangeArrowheads="1"/>
        </xdr:cNvSpPr>
      </xdr:nvSpPr>
      <xdr:spPr bwMode="auto">
        <a:xfrm>
          <a:off x="56235600" y="1847850"/>
          <a:ext cx="285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76</xdr:col>
      <xdr:colOff>352425</xdr:colOff>
      <xdr:row>42</xdr:row>
      <xdr:rowOff>9525</xdr:rowOff>
    </xdr:from>
    <xdr:to>
      <xdr:col>76</xdr:col>
      <xdr:colOff>371475</xdr:colOff>
      <xdr:row>42</xdr:row>
      <xdr:rowOff>152400</xdr:rowOff>
    </xdr:to>
    <xdr:sp macro="" textlink="">
      <xdr:nvSpPr>
        <xdr:cNvPr id="315419" name="Rectangle 28"/>
        <xdr:cNvSpPr>
          <a:spLocks noChangeArrowheads="1"/>
        </xdr:cNvSpPr>
      </xdr:nvSpPr>
      <xdr:spPr bwMode="auto">
        <a:xfrm>
          <a:off x="56235600" y="8982075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80</xdr:col>
      <xdr:colOff>381000</xdr:colOff>
      <xdr:row>5</xdr:row>
      <xdr:rowOff>66675</xdr:rowOff>
    </xdr:from>
    <xdr:to>
      <xdr:col>80</xdr:col>
      <xdr:colOff>400050</xdr:colOff>
      <xdr:row>6</xdr:row>
      <xdr:rowOff>9525</xdr:rowOff>
    </xdr:to>
    <xdr:sp macro="" textlink="">
      <xdr:nvSpPr>
        <xdr:cNvPr id="315420" name="Rectangle 28"/>
        <xdr:cNvSpPr>
          <a:spLocks noChangeArrowheads="1"/>
        </xdr:cNvSpPr>
      </xdr:nvSpPr>
      <xdr:spPr bwMode="auto">
        <a:xfrm>
          <a:off x="60121800" y="1638300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80</xdr:col>
      <xdr:colOff>381000</xdr:colOff>
      <xdr:row>5</xdr:row>
      <xdr:rowOff>66675</xdr:rowOff>
    </xdr:from>
    <xdr:to>
      <xdr:col>80</xdr:col>
      <xdr:colOff>400050</xdr:colOff>
      <xdr:row>6</xdr:row>
      <xdr:rowOff>9525</xdr:rowOff>
    </xdr:to>
    <xdr:sp macro="" textlink="">
      <xdr:nvSpPr>
        <xdr:cNvPr id="315421" name="Rectangle 28"/>
        <xdr:cNvSpPr>
          <a:spLocks noChangeArrowheads="1"/>
        </xdr:cNvSpPr>
      </xdr:nvSpPr>
      <xdr:spPr bwMode="auto">
        <a:xfrm>
          <a:off x="60121800" y="1638300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80</xdr:col>
      <xdr:colOff>381000</xdr:colOff>
      <xdr:row>12</xdr:row>
      <xdr:rowOff>190500</xdr:rowOff>
    </xdr:from>
    <xdr:to>
      <xdr:col>80</xdr:col>
      <xdr:colOff>400050</xdr:colOff>
      <xdr:row>13</xdr:row>
      <xdr:rowOff>142875</xdr:rowOff>
    </xdr:to>
    <xdr:sp macro="" textlink="">
      <xdr:nvSpPr>
        <xdr:cNvPr id="315422" name="Rectangle 28"/>
        <xdr:cNvSpPr>
          <a:spLocks noChangeArrowheads="1"/>
        </xdr:cNvSpPr>
      </xdr:nvSpPr>
      <xdr:spPr bwMode="auto">
        <a:xfrm>
          <a:off x="60121800" y="3162300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80</xdr:col>
      <xdr:colOff>381000</xdr:colOff>
      <xdr:row>16</xdr:row>
      <xdr:rowOff>123825</xdr:rowOff>
    </xdr:from>
    <xdr:to>
      <xdr:col>80</xdr:col>
      <xdr:colOff>400050</xdr:colOff>
      <xdr:row>17</xdr:row>
      <xdr:rowOff>57150</xdr:rowOff>
    </xdr:to>
    <xdr:sp macro="" textlink="">
      <xdr:nvSpPr>
        <xdr:cNvPr id="315423" name="Rectangle 27"/>
        <xdr:cNvSpPr>
          <a:spLocks noChangeArrowheads="1"/>
        </xdr:cNvSpPr>
      </xdr:nvSpPr>
      <xdr:spPr bwMode="auto">
        <a:xfrm>
          <a:off x="60121800" y="3895725"/>
          <a:ext cx="1905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80</xdr:col>
      <xdr:colOff>381000</xdr:colOff>
      <xdr:row>9</xdr:row>
      <xdr:rowOff>57150</xdr:rowOff>
    </xdr:from>
    <xdr:to>
      <xdr:col>80</xdr:col>
      <xdr:colOff>400050</xdr:colOff>
      <xdr:row>9</xdr:row>
      <xdr:rowOff>200025</xdr:rowOff>
    </xdr:to>
    <xdr:sp macro="" textlink="">
      <xdr:nvSpPr>
        <xdr:cNvPr id="315424" name="Rectangle 28"/>
        <xdr:cNvSpPr>
          <a:spLocks noChangeArrowheads="1"/>
        </xdr:cNvSpPr>
      </xdr:nvSpPr>
      <xdr:spPr bwMode="auto">
        <a:xfrm>
          <a:off x="60121800" y="2428875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80</xdr:col>
      <xdr:colOff>381000</xdr:colOff>
      <xdr:row>20</xdr:row>
      <xdr:rowOff>190500</xdr:rowOff>
    </xdr:from>
    <xdr:to>
      <xdr:col>80</xdr:col>
      <xdr:colOff>400050</xdr:colOff>
      <xdr:row>21</xdr:row>
      <xdr:rowOff>133350</xdr:rowOff>
    </xdr:to>
    <xdr:sp macro="" textlink="">
      <xdr:nvSpPr>
        <xdr:cNvPr id="315425" name="Rectangle 27"/>
        <xdr:cNvSpPr>
          <a:spLocks noChangeArrowheads="1"/>
        </xdr:cNvSpPr>
      </xdr:nvSpPr>
      <xdr:spPr bwMode="auto">
        <a:xfrm>
          <a:off x="60121800" y="4762500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80</xdr:col>
      <xdr:colOff>381000</xdr:colOff>
      <xdr:row>26</xdr:row>
      <xdr:rowOff>142875</xdr:rowOff>
    </xdr:from>
    <xdr:to>
      <xdr:col>80</xdr:col>
      <xdr:colOff>400050</xdr:colOff>
      <xdr:row>27</xdr:row>
      <xdr:rowOff>95250</xdr:rowOff>
    </xdr:to>
    <xdr:sp macro="" textlink="">
      <xdr:nvSpPr>
        <xdr:cNvPr id="315426" name="Rectangle 27"/>
        <xdr:cNvSpPr>
          <a:spLocks noChangeArrowheads="1"/>
        </xdr:cNvSpPr>
      </xdr:nvSpPr>
      <xdr:spPr bwMode="auto">
        <a:xfrm>
          <a:off x="60121800" y="5915025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80</xdr:col>
      <xdr:colOff>381000</xdr:colOff>
      <xdr:row>27</xdr:row>
      <xdr:rowOff>76200</xdr:rowOff>
    </xdr:from>
    <xdr:to>
      <xdr:col>80</xdr:col>
      <xdr:colOff>400050</xdr:colOff>
      <xdr:row>28</xdr:row>
      <xdr:rowOff>9525</xdr:rowOff>
    </xdr:to>
    <xdr:sp macro="" textlink="">
      <xdr:nvSpPr>
        <xdr:cNvPr id="315427" name="Rectangle 28"/>
        <xdr:cNvSpPr>
          <a:spLocks noChangeArrowheads="1"/>
        </xdr:cNvSpPr>
      </xdr:nvSpPr>
      <xdr:spPr bwMode="auto">
        <a:xfrm>
          <a:off x="60121800" y="6048375"/>
          <a:ext cx="1905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80</xdr:col>
      <xdr:colOff>381000</xdr:colOff>
      <xdr:row>30</xdr:row>
      <xdr:rowOff>171450</xdr:rowOff>
    </xdr:from>
    <xdr:to>
      <xdr:col>80</xdr:col>
      <xdr:colOff>400050</xdr:colOff>
      <xdr:row>31</xdr:row>
      <xdr:rowOff>123825</xdr:rowOff>
    </xdr:to>
    <xdr:sp macro="" textlink="">
      <xdr:nvSpPr>
        <xdr:cNvPr id="315428" name="Rectangle 27"/>
        <xdr:cNvSpPr>
          <a:spLocks noChangeArrowheads="1"/>
        </xdr:cNvSpPr>
      </xdr:nvSpPr>
      <xdr:spPr bwMode="auto">
        <a:xfrm>
          <a:off x="60121800" y="6743700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87</xdr:col>
      <xdr:colOff>238125</xdr:colOff>
      <xdr:row>10</xdr:row>
      <xdr:rowOff>142875</xdr:rowOff>
    </xdr:from>
    <xdr:to>
      <xdr:col>88</xdr:col>
      <xdr:colOff>0</xdr:colOff>
      <xdr:row>11</xdr:row>
      <xdr:rowOff>123825</xdr:rowOff>
    </xdr:to>
    <xdr:sp macro="" textlink="">
      <xdr:nvSpPr>
        <xdr:cNvPr id="315429" name="Rectangle 28"/>
        <xdr:cNvSpPr>
          <a:spLocks noChangeArrowheads="1"/>
        </xdr:cNvSpPr>
      </xdr:nvSpPr>
      <xdr:spPr bwMode="auto">
        <a:xfrm>
          <a:off x="64979550" y="2714625"/>
          <a:ext cx="95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87</xdr:col>
      <xdr:colOff>238125</xdr:colOff>
      <xdr:row>7</xdr:row>
      <xdr:rowOff>76200</xdr:rowOff>
    </xdr:from>
    <xdr:to>
      <xdr:col>88</xdr:col>
      <xdr:colOff>0</xdr:colOff>
      <xdr:row>8</xdr:row>
      <xdr:rowOff>28575</xdr:rowOff>
    </xdr:to>
    <xdr:sp macro="" textlink="">
      <xdr:nvSpPr>
        <xdr:cNvPr id="315430" name="Rectangle 27"/>
        <xdr:cNvSpPr>
          <a:spLocks noChangeArrowheads="1"/>
        </xdr:cNvSpPr>
      </xdr:nvSpPr>
      <xdr:spPr bwMode="auto">
        <a:xfrm>
          <a:off x="64979550" y="20478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87</xdr:col>
      <xdr:colOff>238125</xdr:colOff>
      <xdr:row>5</xdr:row>
      <xdr:rowOff>76200</xdr:rowOff>
    </xdr:from>
    <xdr:to>
      <xdr:col>88</xdr:col>
      <xdr:colOff>0</xdr:colOff>
      <xdr:row>6</xdr:row>
      <xdr:rowOff>57150</xdr:rowOff>
    </xdr:to>
    <xdr:sp macro="" textlink="">
      <xdr:nvSpPr>
        <xdr:cNvPr id="315431" name="Rectangle 28"/>
        <xdr:cNvSpPr>
          <a:spLocks noChangeArrowheads="1"/>
        </xdr:cNvSpPr>
      </xdr:nvSpPr>
      <xdr:spPr bwMode="auto">
        <a:xfrm>
          <a:off x="64979550" y="1647825"/>
          <a:ext cx="95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82</xdr:col>
      <xdr:colOff>352425</xdr:colOff>
      <xdr:row>31</xdr:row>
      <xdr:rowOff>0</xdr:rowOff>
    </xdr:from>
    <xdr:to>
      <xdr:col>82</xdr:col>
      <xdr:colOff>371475</xdr:colOff>
      <xdr:row>31</xdr:row>
      <xdr:rowOff>142875</xdr:rowOff>
    </xdr:to>
    <xdr:sp macro="" textlink="">
      <xdr:nvSpPr>
        <xdr:cNvPr id="315432" name="Rectangle 27"/>
        <xdr:cNvSpPr>
          <a:spLocks noChangeArrowheads="1"/>
        </xdr:cNvSpPr>
      </xdr:nvSpPr>
      <xdr:spPr bwMode="auto">
        <a:xfrm>
          <a:off x="60788550" y="6772275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82</xdr:col>
      <xdr:colOff>352425</xdr:colOff>
      <xdr:row>31</xdr:row>
      <xdr:rowOff>0</xdr:rowOff>
    </xdr:from>
    <xdr:to>
      <xdr:col>82</xdr:col>
      <xdr:colOff>371475</xdr:colOff>
      <xdr:row>31</xdr:row>
      <xdr:rowOff>142875</xdr:rowOff>
    </xdr:to>
    <xdr:sp macro="" textlink="">
      <xdr:nvSpPr>
        <xdr:cNvPr id="315433" name="Rectangle 27"/>
        <xdr:cNvSpPr>
          <a:spLocks noChangeArrowheads="1"/>
        </xdr:cNvSpPr>
      </xdr:nvSpPr>
      <xdr:spPr bwMode="auto">
        <a:xfrm>
          <a:off x="60788550" y="6772275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82</xdr:col>
      <xdr:colOff>352425</xdr:colOff>
      <xdr:row>31</xdr:row>
      <xdr:rowOff>0</xdr:rowOff>
    </xdr:from>
    <xdr:to>
      <xdr:col>82</xdr:col>
      <xdr:colOff>371475</xdr:colOff>
      <xdr:row>31</xdr:row>
      <xdr:rowOff>142875</xdr:rowOff>
    </xdr:to>
    <xdr:sp macro="" textlink="">
      <xdr:nvSpPr>
        <xdr:cNvPr id="315434" name="Rectangle 28"/>
        <xdr:cNvSpPr>
          <a:spLocks noChangeArrowheads="1"/>
        </xdr:cNvSpPr>
      </xdr:nvSpPr>
      <xdr:spPr bwMode="auto">
        <a:xfrm>
          <a:off x="60788550" y="6772275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82</xdr:col>
      <xdr:colOff>352425</xdr:colOff>
      <xdr:row>31</xdr:row>
      <xdr:rowOff>0</xdr:rowOff>
    </xdr:from>
    <xdr:to>
      <xdr:col>82</xdr:col>
      <xdr:colOff>371475</xdr:colOff>
      <xdr:row>31</xdr:row>
      <xdr:rowOff>142875</xdr:rowOff>
    </xdr:to>
    <xdr:sp macro="" textlink="">
      <xdr:nvSpPr>
        <xdr:cNvPr id="315435" name="Rectangle 27"/>
        <xdr:cNvSpPr>
          <a:spLocks noChangeArrowheads="1"/>
        </xdr:cNvSpPr>
      </xdr:nvSpPr>
      <xdr:spPr bwMode="auto">
        <a:xfrm>
          <a:off x="60788550" y="6772275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82</xdr:col>
      <xdr:colOff>352425</xdr:colOff>
      <xdr:row>31</xdr:row>
      <xdr:rowOff>0</xdr:rowOff>
    </xdr:from>
    <xdr:to>
      <xdr:col>82</xdr:col>
      <xdr:colOff>371475</xdr:colOff>
      <xdr:row>31</xdr:row>
      <xdr:rowOff>142875</xdr:rowOff>
    </xdr:to>
    <xdr:sp macro="" textlink="">
      <xdr:nvSpPr>
        <xdr:cNvPr id="315436" name="Rectangle 28"/>
        <xdr:cNvSpPr>
          <a:spLocks noChangeArrowheads="1"/>
        </xdr:cNvSpPr>
      </xdr:nvSpPr>
      <xdr:spPr bwMode="auto">
        <a:xfrm>
          <a:off x="60788550" y="6772275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82</xdr:col>
      <xdr:colOff>352425</xdr:colOff>
      <xdr:row>31</xdr:row>
      <xdr:rowOff>0</xdr:rowOff>
    </xdr:from>
    <xdr:to>
      <xdr:col>82</xdr:col>
      <xdr:colOff>371475</xdr:colOff>
      <xdr:row>31</xdr:row>
      <xdr:rowOff>142875</xdr:rowOff>
    </xdr:to>
    <xdr:sp macro="" textlink="">
      <xdr:nvSpPr>
        <xdr:cNvPr id="315437" name="Rectangle 28"/>
        <xdr:cNvSpPr>
          <a:spLocks noChangeArrowheads="1"/>
        </xdr:cNvSpPr>
      </xdr:nvSpPr>
      <xdr:spPr bwMode="auto">
        <a:xfrm>
          <a:off x="60788550" y="6772275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82</xdr:col>
      <xdr:colOff>352425</xdr:colOff>
      <xdr:row>31</xdr:row>
      <xdr:rowOff>0</xdr:rowOff>
    </xdr:from>
    <xdr:to>
      <xdr:col>82</xdr:col>
      <xdr:colOff>371475</xdr:colOff>
      <xdr:row>31</xdr:row>
      <xdr:rowOff>142875</xdr:rowOff>
    </xdr:to>
    <xdr:sp macro="" textlink="">
      <xdr:nvSpPr>
        <xdr:cNvPr id="315438" name="Rectangle 27"/>
        <xdr:cNvSpPr>
          <a:spLocks noChangeArrowheads="1"/>
        </xdr:cNvSpPr>
      </xdr:nvSpPr>
      <xdr:spPr bwMode="auto">
        <a:xfrm>
          <a:off x="60788550" y="6772275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82</xdr:col>
      <xdr:colOff>352425</xdr:colOff>
      <xdr:row>31</xdr:row>
      <xdr:rowOff>0</xdr:rowOff>
    </xdr:from>
    <xdr:to>
      <xdr:col>82</xdr:col>
      <xdr:colOff>371475</xdr:colOff>
      <xdr:row>31</xdr:row>
      <xdr:rowOff>142875</xdr:rowOff>
    </xdr:to>
    <xdr:sp macro="" textlink="">
      <xdr:nvSpPr>
        <xdr:cNvPr id="315439" name="Rectangle 27"/>
        <xdr:cNvSpPr>
          <a:spLocks noChangeArrowheads="1"/>
        </xdr:cNvSpPr>
      </xdr:nvSpPr>
      <xdr:spPr bwMode="auto">
        <a:xfrm>
          <a:off x="60788550" y="6772275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82</xdr:col>
      <xdr:colOff>352425</xdr:colOff>
      <xdr:row>31</xdr:row>
      <xdr:rowOff>0</xdr:rowOff>
    </xdr:from>
    <xdr:to>
      <xdr:col>82</xdr:col>
      <xdr:colOff>371475</xdr:colOff>
      <xdr:row>31</xdr:row>
      <xdr:rowOff>142875</xdr:rowOff>
    </xdr:to>
    <xdr:sp macro="" textlink="">
      <xdr:nvSpPr>
        <xdr:cNvPr id="315440" name="Rectangle 28"/>
        <xdr:cNvSpPr>
          <a:spLocks noChangeArrowheads="1"/>
        </xdr:cNvSpPr>
      </xdr:nvSpPr>
      <xdr:spPr bwMode="auto">
        <a:xfrm>
          <a:off x="60788550" y="6772275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82</xdr:col>
      <xdr:colOff>352425</xdr:colOff>
      <xdr:row>31</xdr:row>
      <xdr:rowOff>0</xdr:rowOff>
    </xdr:from>
    <xdr:to>
      <xdr:col>82</xdr:col>
      <xdr:colOff>371475</xdr:colOff>
      <xdr:row>31</xdr:row>
      <xdr:rowOff>142875</xdr:rowOff>
    </xdr:to>
    <xdr:sp macro="" textlink="">
      <xdr:nvSpPr>
        <xdr:cNvPr id="315441" name="Rectangle 27"/>
        <xdr:cNvSpPr>
          <a:spLocks noChangeArrowheads="1"/>
        </xdr:cNvSpPr>
      </xdr:nvSpPr>
      <xdr:spPr bwMode="auto">
        <a:xfrm>
          <a:off x="60788550" y="6772275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82</xdr:col>
      <xdr:colOff>352425</xdr:colOff>
      <xdr:row>31</xdr:row>
      <xdr:rowOff>0</xdr:rowOff>
    </xdr:from>
    <xdr:to>
      <xdr:col>82</xdr:col>
      <xdr:colOff>371475</xdr:colOff>
      <xdr:row>31</xdr:row>
      <xdr:rowOff>142875</xdr:rowOff>
    </xdr:to>
    <xdr:sp macro="" textlink="">
      <xdr:nvSpPr>
        <xdr:cNvPr id="315442" name="Rectangle 28"/>
        <xdr:cNvSpPr>
          <a:spLocks noChangeArrowheads="1"/>
        </xdr:cNvSpPr>
      </xdr:nvSpPr>
      <xdr:spPr bwMode="auto">
        <a:xfrm>
          <a:off x="60788550" y="6772275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82</xdr:col>
      <xdr:colOff>352425</xdr:colOff>
      <xdr:row>31</xdr:row>
      <xdr:rowOff>0</xdr:rowOff>
    </xdr:from>
    <xdr:to>
      <xdr:col>82</xdr:col>
      <xdr:colOff>371475</xdr:colOff>
      <xdr:row>31</xdr:row>
      <xdr:rowOff>142875</xdr:rowOff>
    </xdr:to>
    <xdr:sp macro="" textlink="">
      <xdr:nvSpPr>
        <xdr:cNvPr id="315443" name="Rectangle 27"/>
        <xdr:cNvSpPr>
          <a:spLocks noChangeArrowheads="1"/>
        </xdr:cNvSpPr>
      </xdr:nvSpPr>
      <xdr:spPr bwMode="auto">
        <a:xfrm>
          <a:off x="60788550" y="6772275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82</xdr:col>
      <xdr:colOff>352425</xdr:colOff>
      <xdr:row>29</xdr:row>
      <xdr:rowOff>66675</xdr:rowOff>
    </xdr:from>
    <xdr:to>
      <xdr:col>82</xdr:col>
      <xdr:colOff>381000</xdr:colOff>
      <xdr:row>30</xdr:row>
      <xdr:rowOff>9525</xdr:rowOff>
    </xdr:to>
    <xdr:sp macro="" textlink="">
      <xdr:nvSpPr>
        <xdr:cNvPr id="315444" name="Rectangle 28"/>
        <xdr:cNvSpPr>
          <a:spLocks noChangeArrowheads="1"/>
        </xdr:cNvSpPr>
      </xdr:nvSpPr>
      <xdr:spPr bwMode="auto">
        <a:xfrm>
          <a:off x="60788550" y="6438900"/>
          <a:ext cx="285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82</xdr:col>
      <xdr:colOff>352425</xdr:colOff>
      <xdr:row>21</xdr:row>
      <xdr:rowOff>200025</xdr:rowOff>
    </xdr:from>
    <xdr:to>
      <xdr:col>82</xdr:col>
      <xdr:colOff>381000</xdr:colOff>
      <xdr:row>22</xdr:row>
      <xdr:rowOff>142875</xdr:rowOff>
    </xdr:to>
    <xdr:sp macro="" textlink="">
      <xdr:nvSpPr>
        <xdr:cNvPr id="315445" name="Rectangle 28"/>
        <xdr:cNvSpPr>
          <a:spLocks noChangeArrowheads="1"/>
        </xdr:cNvSpPr>
      </xdr:nvSpPr>
      <xdr:spPr bwMode="auto">
        <a:xfrm>
          <a:off x="60788550" y="4972050"/>
          <a:ext cx="285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82</xdr:col>
      <xdr:colOff>352425</xdr:colOff>
      <xdr:row>29</xdr:row>
      <xdr:rowOff>76200</xdr:rowOff>
    </xdr:from>
    <xdr:to>
      <xdr:col>82</xdr:col>
      <xdr:colOff>381000</xdr:colOff>
      <xdr:row>30</xdr:row>
      <xdr:rowOff>9525</xdr:rowOff>
    </xdr:to>
    <xdr:sp macro="" textlink="">
      <xdr:nvSpPr>
        <xdr:cNvPr id="315446" name="Rectangle 28"/>
        <xdr:cNvSpPr>
          <a:spLocks noChangeArrowheads="1"/>
        </xdr:cNvSpPr>
      </xdr:nvSpPr>
      <xdr:spPr bwMode="auto">
        <a:xfrm>
          <a:off x="60788550" y="6448425"/>
          <a:ext cx="285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82</xdr:col>
      <xdr:colOff>352425</xdr:colOff>
      <xdr:row>28</xdr:row>
      <xdr:rowOff>66675</xdr:rowOff>
    </xdr:from>
    <xdr:to>
      <xdr:col>82</xdr:col>
      <xdr:colOff>381000</xdr:colOff>
      <xdr:row>29</xdr:row>
      <xdr:rowOff>9525</xdr:rowOff>
    </xdr:to>
    <xdr:sp macro="" textlink="">
      <xdr:nvSpPr>
        <xdr:cNvPr id="315447" name="Rectangle 28"/>
        <xdr:cNvSpPr>
          <a:spLocks noChangeArrowheads="1"/>
        </xdr:cNvSpPr>
      </xdr:nvSpPr>
      <xdr:spPr bwMode="auto">
        <a:xfrm>
          <a:off x="60788550" y="6238875"/>
          <a:ext cx="285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82</xdr:col>
      <xdr:colOff>352425</xdr:colOff>
      <xdr:row>21</xdr:row>
      <xdr:rowOff>200025</xdr:rowOff>
    </xdr:from>
    <xdr:to>
      <xdr:col>82</xdr:col>
      <xdr:colOff>381000</xdr:colOff>
      <xdr:row>22</xdr:row>
      <xdr:rowOff>142875</xdr:rowOff>
    </xdr:to>
    <xdr:sp macro="" textlink="">
      <xdr:nvSpPr>
        <xdr:cNvPr id="315448" name="Rectangle 28"/>
        <xdr:cNvSpPr>
          <a:spLocks noChangeArrowheads="1"/>
        </xdr:cNvSpPr>
      </xdr:nvSpPr>
      <xdr:spPr bwMode="auto">
        <a:xfrm>
          <a:off x="60788550" y="4972050"/>
          <a:ext cx="285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82</xdr:col>
      <xdr:colOff>352425</xdr:colOff>
      <xdr:row>29</xdr:row>
      <xdr:rowOff>76200</xdr:rowOff>
    </xdr:from>
    <xdr:to>
      <xdr:col>82</xdr:col>
      <xdr:colOff>381000</xdr:colOff>
      <xdr:row>30</xdr:row>
      <xdr:rowOff>9525</xdr:rowOff>
    </xdr:to>
    <xdr:sp macro="" textlink="">
      <xdr:nvSpPr>
        <xdr:cNvPr id="315449" name="Rectangle 28"/>
        <xdr:cNvSpPr>
          <a:spLocks noChangeArrowheads="1"/>
        </xdr:cNvSpPr>
      </xdr:nvSpPr>
      <xdr:spPr bwMode="auto">
        <a:xfrm>
          <a:off x="60788550" y="6448425"/>
          <a:ext cx="285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82</xdr:col>
      <xdr:colOff>352425</xdr:colOff>
      <xdr:row>28</xdr:row>
      <xdr:rowOff>66675</xdr:rowOff>
    </xdr:from>
    <xdr:to>
      <xdr:col>82</xdr:col>
      <xdr:colOff>381000</xdr:colOff>
      <xdr:row>29</xdr:row>
      <xdr:rowOff>9525</xdr:rowOff>
    </xdr:to>
    <xdr:sp macro="" textlink="">
      <xdr:nvSpPr>
        <xdr:cNvPr id="315450" name="Rectangle 27"/>
        <xdr:cNvSpPr>
          <a:spLocks noChangeArrowheads="1"/>
        </xdr:cNvSpPr>
      </xdr:nvSpPr>
      <xdr:spPr bwMode="auto">
        <a:xfrm>
          <a:off x="60788550" y="6238875"/>
          <a:ext cx="285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82</xdr:col>
      <xdr:colOff>352425</xdr:colOff>
      <xdr:row>27</xdr:row>
      <xdr:rowOff>66675</xdr:rowOff>
    </xdr:from>
    <xdr:to>
      <xdr:col>82</xdr:col>
      <xdr:colOff>381000</xdr:colOff>
      <xdr:row>28</xdr:row>
      <xdr:rowOff>9525</xdr:rowOff>
    </xdr:to>
    <xdr:sp macro="" textlink="">
      <xdr:nvSpPr>
        <xdr:cNvPr id="315451" name="Rectangle 28"/>
        <xdr:cNvSpPr>
          <a:spLocks noChangeArrowheads="1"/>
        </xdr:cNvSpPr>
      </xdr:nvSpPr>
      <xdr:spPr bwMode="auto">
        <a:xfrm>
          <a:off x="60788550" y="6038850"/>
          <a:ext cx="285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82</xdr:col>
      <xdr:colOff>352425</xdr:colOff>
      <xdr:row>24</xdr:row>
      <xdr:rowOff>142875</xdr:rowOff>
    </xdr:from>
    <xdr:to>
      <xdr:col>82</xdr:col>
      <xdr:colOff>381000</xdr:colOff>
      <xdr:row>25</xdr:row>
      <xdr:rowOff>95250</xdr:rowOff>
    </xdr:to>
    <xdr:sp macro="" textlink="">
      <xdr:nvSpPr>
        <xdr:cNvPr id="315452" name="Rectangle 27"/>
        <xdr:cNvSpPr>
          <a:spLocks noChangeArrowheads="1"/>
        </xdr:cNvSpPr>
      </xdr:nvSpPr>
      <xdr:spPr bwMode="auto">
        <a:xfrm>
          <a:off x="60788550" y="5514975"/>
          <a:ext cx="285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82</xdr:col>
      <xdr:colOff>352425</xdr:colOff>
      <xdr:row>12</xdr:row>
      <xdr:rowOff>123825</xdr:rowOff>
    </xdr:from>
    <xdr:to>
      <xdr:col>82</xdr:col>
      <xdr:colOff>381000</xdr:colOff>
      <xdr:row>13</xdr:row>
      <xdr:rowOff>76200</xdr:rowOff>
    </xdr:to>
    <xdr:sp macro="" textlink="">
      <xdr:nvSpPr>
        <xdr:cNvPr id="315453" name="Rectangle 28"/>
        <xdr:cNvSpPr>
          <a:spLocks noChangeArrowheads="1"/>
        </xdr:cNvSpPr>
      </xdr:nvSpPr>
      <xdr:spPr bwMode="auto">
        <a:xfrm>
          <a:off x="60788550" y="3095625"/>
          <a:ext cx="285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82</xdr:col>
      <xdr:colOff>352425</xdr:colOff>
      <xdr:row>18</xdr:row>
      <xdr:rowOff>123825</xdr:rowOff>
    </xdr:from>
    <xdr:to>
      <xdr:col>82</xdr:col>
      <xdr:colOff>381000</xdr:colOff>
      <xdr:row>19</xdr:row>
      <xdr:rowOff>66675</xdr:rowOff>
    </xdr:to>
    <xdr:sp macro="" textlink="">
      <xdr:nvSpPr>
        <xdr:cNvPr id="315454" name="Rectangle 27"/>
        <xdr:cNvSpPr>
          <a:spLocks noChangeArrowheads="1"/>
        </xdr:cNvSpPr>
      </xdr:nvSpPr>
      <xdr:spPr bwMode="auto">
        <a:xfrm>
          <a:off x="60788550" y="4295775"/>
          <a:ext cx="285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82</xdr:col>
      <xdr:colOff>352425</xdr:colOff>
      <xdr:row>17</xdr:row>
      <xdr:rowOff>76200</xdr:rowOff>
    </xdr:from>
    <xdr:to>
      <xdr:col>82</xdr:col>
      <xdr:colOff>381000</xdr:colOff>
      <xdr:row>18</xdr:row>
      <xdr:rowOff>28575</xdr:rowOff>
    </xdr:to>
    <xdr:sp macro="" textlink="">
      <xdr:nvSpPr>
        <xdr:cNvPr id="315455" name="Rectangle 28"/>
        <xdr:cNvSpPr>
          <a:spLocks noChangeArrowheads="1"/>
        </xdr:cNvSpPr>
      </xdr:nvSpPr>
      <xdr:spPr bwMode="auto">
        <a:xfrm>
          <a:off x="60788550" y="4048125"/>
          <a:ext cx="285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82</xdr:col>
      <xdr:colOff>352425</xdr:colOff>
      <xdr:row>15</xdr:row>
      <xdr:rowOff>190500</xdr:rowOff>
    </xdr:from>
    <xdr:to>
      <xdr:col>82</xdr:col>
      <xdr:colOff>381000</xdr:colOff>
      <xdr:row>16</xdr:row>
      <xdr:rowOff>133350</xdr:rowOff>
    </xdr:to>
    <xdr:sp macro="" textlink="">
      <xdr:nvSpPr>
        <xdr:cNvPr id="315456" name="Rectangle 28"/>
        <xdr:cNvSpPr>
          <a:spLocks noChangeArrowheads="1"/>
        </xdr:cNvSpPr>
      </xdr:nvSpPr>
      <xdr:spPr bwMode="auto">
        <a:xfrm>
          <a:off x="60788550" y="3762375"/>
          <a:ext cx="285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82</xdr:col>
      <xdr:colOff>352425</xdr:colOff>
      <xdr:row>19</xdr:row>
      <xdr:rowOff>57150</xdr:rowOff>
    </xdr:from>
    <xdr:to>
      <xdr:col>82</xdr:col>
      <xdr:colOff>381000</xdr:colOff>
      <xdr:row>20</xdr:row>
      <xdr:rowOff>0</xdr:rowOff>
    </xdr:to>
    <xdr:sp macro="" textlink="">
      <xdr:nvSpPr>
        <xdr:cNvPr id="315457" name="Rectangle 28"/>
        <xdr:cNvSpPr>
          <a:spLocks noChangeArrowheads="1"/>
        </xdr:cNvSpPr>
      </xdr:nvSpPr>
      <xdr:spPr bwMode="auto">
        <a:xfrm>
          <a:off x="60788550" y="4429125"/>
          <a:ext cx="285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82</xdr:col>
      <xdr:colOff>352425</xdr:colOff>
      <xdr:row>19</xdr:row>
      <xdr:rowOff>57150</xdr:rowOff>
    </xdr:from>
    <xdr:to>
      <xdr:col>82</xdr:col>
      <xdr:colOff>381000</xdr:colOff>
      <xdr:row>20</xdr:row>
      <xdr:rowOff>0</xdr:rowOff>
    </xdr:to>
    <xdr:sp macro="" textlink="">
      <xdr:nvSpPr>
        <xdr:cNvPr id="315458" name="Rectangle 28"/>
        <xdr:cNvSpPr>
          <a:spLocks noChangeArrowheads="1"/>
        </xdr:cNvSpPr>
      </xdr:nvSpPr>
      <xdr:spPr bwMode="auto">
        <a:xfrm>
          <a:off x="60788550" y="4429125"/>
          <a:ext cx="285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82</xdr:col>
      <xdr:colOff>352425</xdr:colOff>
      <xdr:row>15</xdr:row>
      <xdr:rowOff>95250</xdr:rowOff>
    </xdr:from>
    <xdr:to>
      <xdr:col>82</xdr:col>
      <xdr:colOff>381000</xdr:colOff>
      <xdr:row>16</xdr:row>
      <xdr:rowOff>57150</xdr:rowOff>
    </xdr:to>
    <xdr:sp macro="" textlink="">
      <xdr:nvSpPr>
        <xdr:cNvPr id="315459" name="Rectangle 28"/>
        <xdr:cNvSpPr>
          <a:spLocks noChangeArrowheads="1"/>
        </xdr:cNvSpPr>
      </xdr:nvSpPr>
      <xdr:spPr bwMode="auto">
        <a:xfrm>
          <a:off x="60788550" y="3667125"/>
          <a:ext cx="285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82</xdr:col>
      <xdr:colOff>352425</xdr:colOff>
      <xdr:row>8</xdr:row>
      <xdr:rowOff>190500</xdr:rowOff>
    </xdr:from>
    <xdr:to>
      <xdr:col>82</xdr:col>
      <xdr:colOff>381000</xdr:colOff>
      <xdr:row>9</xdr:row>
      <xdr:rowOff>142875</xdr:rowOff>
    </xdr:to>
    <xdr:sp macro="" textlink="">
      <xdr:nvSpPr>
        <xdr:cNvPr id="315460" name="Rectangle 28"/>
        <xdr:cNvSpPr>
          <a:spLocks noChangeArrowheads="1"/>
        </xdr:cNvSpPr>
      </xdr:nvSpPr>
      <xdr:spPr bwMode="auto">
        <a:xfrm>
          <a:off x="60788550" y="2362200"/>
          <a:ext cx="285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82</xdr:col>
      <xdr:colOff>352425</xdr:colOff>
      <xdr:row>4</xdr:row>
      <xdr:rowOff>142875</xdr:rowOff>
    </xdr:from>
    <xdr:to>
      <xdr:col>82</xdr:col>
      <xdr:colOff>381000</xdr:colOff>
      <xdr:row>5</xdr:row>
      <xdr:rowOff>104775</xdr:rowOff>
    </xdr:to>
    <xdr:sp macro="" textlink="">
      <xdr:nvSpPr>
        <xdr:cNvPr id="315461" name="Rectangle 27"/>
        <xdr:cNvSpPr>
          <a:spLocks noChangeArrowheads="1"/>
        </xdr:cNvSpPr>
      </xdr:nvSpPr>
      <xdr:spPr bwMode="auto">
        <a:xfrm>
          <a:off x="60788550" y="1514475"/>
          <a:ext cx="285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82</xdr:col>
      <xdr:colOff>352425</xdr:colOff>
      <xdr:row>3</xdr:row>
      <xdr:rowOff>66675</xdr:rowOff>
    </xdr:from>
    <xdr:to>
      <xdr:col>82</xdr:col>
      <xdr:colOff>381000</xdr:colOff>
      <xdr:row>4</xdr:row>
      <xdr:rowOff>9525</xdr:rowOff>
    </xdr:to>
    <xdr:sp macro="" textlink="">
      <xdr:nvSpPr>
        <xdr:cNvPr id="315462" name="Rectangle 28"/>
        <xdr:cNvSpPr>
          <a:spLocks noChangeArrowheads="1"/>
        </xdr:cNvSpPr>
      </xdr:nvSpPr>
      <xdr:spPr bwMode="auto">
        <a:xfrm>
          <a:off x="60788550" y="1238250"/>
          <a:ext cx="285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82</xdr:col>
      <xdr:colOff>352425</xdr:colOff>
      <xdr:row>8</xdr:row>
      <xdr:rowOff>171450</xdr:rowOff>
    </xdr:from>
    <xdr:to>
      <xdr:col>82</xdr:col>
      <xdr:colOff>381000</xdr:colOff>
      <xdr:row>9</xdr:row>
      <xdr:rowOff>123825</xdr:rowOff>
    </xdr:to>
    <xdr:sp macro="" textlink="">
      <xdr:nvSpPr>
        <xdr:cNvPr id="315463" name="Rectangle 28"/>
        <xdr:cNvSpPr>
          <a:spLocks noChangeArrowheads="1"/>
        </xdr:cNvSpPr>
      </xdr:nvSpPr>
      <xdr:spPr bwMode="auto">
        <a:xfrm>
          <a:off x="60788550" y="2343150"/>
          <a:ext cx="285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82</xdr:col>
      <xdr:colOff>352425</xdr:colOff>
      <xdr:row>6</xdr:row>
      <xdr:rowOff>76200</xdr:rowOff>
    </xdr:from>
    <xdr:to>
      <xdr:col>82</xdr:col>
      <xdr:colOff>381000</xdr:colOff>
      <xdr:row>7</xdr:row>
      <xdr:rowOff>28575</xdr:rowOff>
    </xdr:to>
    <xdr:sp macro="" textlink="">
      <xdr:nvSpPr>
        <xdr:cNvPr id="315464" name="Rectangle 27"/>
        <xdr:cNvSpPr>
          <a:spLocks noChangeArrowheads="1"/>
        </xdr:cNvSpPr>
      </xdr:nvSpPr>
      <xdr:spPr bwMode="auto">
        <a:xfrm>
          <a:off x="60788550" y="1847850"/>
          <a:ext cx="285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82</xdr:col>
      <xdr:colOff>352425</xdr:colOff>
      <xdr:row>31</xdr:row>
      <xdr:rowOff>0</xdr:rowOff>
    </xdr:from>
    <xdr:to>
      <xdr:col>82</xdr:col>
      <xdr:colOff>371475</xdr:colOff>
      <xdr:row>31</xdr:row>
      <xdr:rowOff>142875</xdr:rowOff>
    </xdr:to>
    <xdr:sp macro="" textlink="">
      <xdr:nvSpPr>
        <xdr:cNvPr id="315465" name="Rectangle 28"/>
        <xdr:cNvSpPr>
          <a:spLocks noChangeArrowheads="1"/>
        </xdr:cNvSpPr>
      </xdr:nvSpPr>
      <xdr:spPr bwMode="auto">
        <a:xfrm>
          <a:off x="60788550" y="6772275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77</xdr:col>
      <xdr:colOff>381000</xdr:colOff>
      <xdr:row>5</xdr:row>
      <xdr:rowOff>66675</xdr:rowOff>
    </xdr:from>
    <xdr:to>
      <xdr:col>77</xdr:col>
      <xdr:colOff>400050</xdr:colOff>
      <xdr:row>6</xdr:row>
      <xdr:rowOff>9525</xdr:rowOff>
    </xdr:to>
    <xdr:sp macro="" textlink="">
      <xdr:nvSpPr>
        <xdr:cNvPr id="315466" name="Rectangle 28"/>
        <xdr:cNvSpPr>
          <a:spLocks noChangeArrowheads="1"/>
        </xdr:cNvSpPr>
      </xdr:nvSpPr>
      <xdr:spPr bwMode="auto">
        <a:xfrm>
          <a:off x="57845325" y="1638300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77</xdr:col>
      <xdr:colOff>381000</xdr:colOff>
      <xdr:row>5</xdr:row>
      <xdr:rowOff>66675</xdr:rowOff>
    </xdr:from>
    <xdr:to>
      <xdr:col>77</xdr:col>
      <xdr:colOff>400050</xdr:colOff>
      <xdr:row>6</xdr:row>
      <xdr:rowOff>9525</xdr:rowOff>
    </xdr:to>
    <xdr:sp macro="" textlink="">
      <xdr:nvSpPr>
        <xdr:cNvPr id="315467" name="Rectangle 28"/>
        <xdr:cNvSpPr>
          <a:spLocks noChangeArrowheads="1"/>
        </xdr:cNvSpPr>
      </xdr:nvSpPr>
      <xdr:spPr bwMode="auto">
        <a:xfrm>
          <a:off x="57845325" y="1638300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77</xdr:col>
      <xdr:colOff>381000</xdr:colOff>
      <xdr:row>12</xdr:row>
      <xdr:rowOff>190500</xdr:rowOff>
    </xdr:from>
    <xdr:to>
      <xdr:col>77</xdr:col>
      <xdr:colOff>400050</xdr:colOff>
      <xdr:row>13</xdr:row>
      <xdr:rowOff>142875</xdr:rowOff>
    </xdr:to>
    <xdr:sp macro="" textlink="">
      <xdr:nvSpPr>
        <xdr:cNvPr id="315468" name="Rectangle 28"/>
        <xdr:cNvSpPr>
          <a:spLocks noChangeArrowheads="1"/>
        </xdr:cNvSpPr>
      </xdr:nvSpPr>
      <xdr:spPr bwMode="auto">
        <a:xfrm>
          <a:off x="57845325" y="3162300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77</xdr:col>
      <xdr:colOff>381000</xdr:colOff>
      <xdr:row>16</xdr:row>
      <xdr:rowOff>123825</xdr:rowOff>
    </xdr:from>
    <xdr:to>
      <xdr:col>77</xdr:col>
      <xdr:colOff>400050</xdr:colOff>
      <xdr:row>17</xdr:row>
      <xdr:rowOff>57150</xdr:rowOff>
    </xdr:to>
    <xdr:sp macro="" textlink="">
      <xdr:nvSpPr>
        <xdr:cNvPr id="315469" name="Rectangle 27"/>
        <xdr:cNvSpPr>
          <a:spLocks noChangeArrowheads="1"/>
        </xdr:cNvSpPr>
      </xdr:nvSpPr>
      <xdr:spPr bwMode="auto">
        <a:xfrm>
          <a:off x="57845325" y="3895725"/>
          <a:ext cx="1905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77</xdr:col>
      <xdr:colOff>381000</xdr:colOff>
      <xdr:row>46</xdr:row>
      <xdr:rowOff>57150</xdr:rowOff>
    </xdr:from>
    <xdr:to>
      <xdr:col>77</xdr:col>
      <xdr:colOff>400050</xdr:colOff>
      <xdr:row>46</xdr:row>
      <xdr:rowOff>200025</xdr:rowOff>
    </xdr:to>
    <xdr:sp macro="" textlink="">
      <xdr:nvSpPr>
        <xdr:cNvPr id="315470" name="Rectangle 28"/>
        <xdr:cNvSpPr>
          <a:spLocks noChangeArrowheads="1"/>
        </xdr:cNvSpPr>
      </xdr:nvSpPr>
      <xdr:spPr bwMode="auto">
        <a:xfrm>
          <a:off x="57845325" y="9829800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77</xdr:col>
      <xdr:colOff>381000</xdr:colOff>
      <xdr:row>20</xdr:row>
      <xdr:rowOff>190500</xdr:rowOff>
    </xdr:from>
    <xdr:to>
      <xdr:col>77</xdr:col>
      <xdr:colOff>400050</xdr:colOff>
      <xdr:row>21</xdr:row>
      <xdr:rowOff>133350</xdr:rowOff>
    </xdr:to>
    <xdr:sp macro="" textlink="">
      <xdr:nvSpPr>
        <xdr:cNvPr id="315471" name="Rectangle 27"/>
        <xdr:cNvSpPr>
          <a:spLocks noChangeArrowheads="1"/>
        </xdr:cNvSpPr>
      </xdr:nvSpPr>
      <xdr:spPr bwMode="auto">
        <a:xfrm>
          <a:off x="57845325" y="4762500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77</xdr:col>
      <xdr:colOff>381000</xdr:colOff>
      <xdr:row>26</xdr:row>
      <xdr:rowOff>142875</xdr:rowOff>
    </xdr:from>
    <xdr:to>
      <xdr:col>77</xdr:col>
      <xdr:colOff>400050</xdr:colOff>
      <xdr:row>27</xdr:row>
      <xdr:rowOff>95250</xdr:rowOff>
    </xdr:to>
    <xdr:sp macro="" textlink="">
      <xdr:nvSpPr>
        <xdr:cNvPr id="315472" name="Rectangle 27"/>
        <xdr:cNvSpPr>
          <a:spLocks noChangeArrowheads="1"/>
        </xdr:cNvSpPr>
      </xdr:nvSpPr>
      <xdr:spPr bwMode="auto">
        <a:xfrm>
          <a:off x="57845325" y="5915025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77</xdr:col>
      <xdr:colOff>381000</xdr:colOff>
      <xdr:row>27</xdr:row>
      <xdr:rowOff>76200</xdr:rowOff>
    </xdr:from>
    <xdr:to>
      <xdr:col>77</xdr:col>
      <xdr:colOff>400050</xdr:colOff>
      <xdr:row>28</xdr:row>
      <xdr:rowOff>9525</xdr:rowOff>
    </xdr:to>
    <xdr:sp macro="" textlink="">
      <xdr:nvSpPr>
        <xdr:cNvPr id="315473" name="Rectangle 28"/>
        <xdr:cNvSpPr>
          <a:spLocks noChangeArrowheads="1"/>
        </xdr:cNvSpPr>
      </xdr:nvSpPr>
      <xdr:spPr bwMode="auto">
        <a:xfrm>
          <a:off x="57845325" y="6048375"/>
          <a:ext cx="1905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77</xdr:col>
      <xdr:colOff>381000</xdr:colOff>
      <xdr:row>30</xdr:row>
      <xdr:rowOff>171450</xdr:rowOff>
    </xdr:from>
    <xdr:to>
      <xdr:col>77</xdr:col>
      <xdr:colOff>400050</xdr:colOff>
      <xdr:row>31</xdr:row>
      <xdr:rowOff>123825</xdr:rowOff>
    </xdr:to>
    <xdr:sp macro="" textlink="">
      <xdr:nvSpPr>
        <xdr:cNvPr id="315474" name="Rectangle 27"/>
        <xdr:cNvSpPr>
          <a:spLocks noChangeArrowheads="1"/>
        </xdr:cNvSpPr>
      </xdr:nvSpPr>
      <xdr:spPr bwMode="auto">
        <a:xfrm>
          <a:off x="57845325" y="6743700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84</xdr:col>
      <xdr:colOff>238125</xdr:colOff>
      <xdr:row>10</xdr:row>
      <xdr:rowOff>142875</xdr:rowOff>
    </xdr:from>
    <xdr:to>
      <xdr:col>85</xdr:col>
      <xdr:colOff>0</xdr:colOff>
      <xdr:row>11</xdr:row>
      <xdr:rowOff>123825</xdr:rowOff>
    </xdr:to>
    <xdr:sp macro="" textlink="">
      <xdr:nvSpPr>
        <xdr:cNvPr id="315475" name="Rectangle 28"/>
        <xdr:cNvSpPr>
          <a:spLocks noChangeArrowheads="1"/>
        </xdr:cNvSpPr>
      </xdr:nvSpPr>
      <xdr:spPr bwMode="auto">
        <a:xfrm>
          <a:off x="62703075" y="2714625"/>
          <a:ext cx="95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84</xdr:col>
      <xdr:colOff>238125</xdr:colOff>
      <xdr:row>7</xdr:row>
      <xdr:rowOff>76200</xdr:rowOff>
    </xdr:from>
    <xdr:to>
      <xdr:col>85</xdr:col>
      <xdr:colOff>0</xdr:colOff>
      <xdr:row>8</xdr:row>
      <xdr:rowOff>28575</xdr:rowOff>
    </xdr:to>
    <xdr:sp macro="" textlink="">
      <xdr:nvSpPr>
        <xdr:cNvPr id="315476" name="Rectangle 27"/>
        <xdr:cNvSpPr>
          <a:spLocks noChangeArrowheads="1"/>
        </xdr:cNvSpPr>
      </xdr:nvSpPr>
      <xdr:spPr bwMode="auto">
        <a:xfrm>
          <a:off x="62703075" y="20478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84</xdr:col>
      <xdr:colOff>238125</xdr:colOff>
      <xdr:row>5</xdr:row>
      <xdr:rowOff>76200</xdr:rowOff>
    </xdr:from>
    <xdr:to>
      <xdr:col>85</xdr:col>
      <xdr:colOff>0</xdr:colOff>
      <xdr:row>6</xdr:row>
      <xdr:rowOff>57150</xdr:rowOff>
    </xdr:to>
    <xdr:sp macro="" textlink="">
      <xdr:nvSpPr>
        <xdr:cNvPr id="315477" name="Rectangle 28"/>
        <xdr:cNvSpPr>
          <a:spLocks noChangeArrowheads="1"/>
        </xdr:cNvSpPr>
      </xdr:nvSpPr>
      <xdr:spPr bwMode="auto">
        <a:xfrm>
          <a:off x="62703075" y="1647825"/>
          <a:ext cx="95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79</xdr:col>
      <xdr:colOff>352425</xdr:colOff>
      <xdr:row>17</xdr:row>
      <xdr:rowOff>9525</xdr:rowOff>
    </xdr:from>
    <xdr:to>
      <xdr:col>79</xdr:col>
      <xdr:colOff>371475</xdr:colOff>
      <xdr:row>17</xdr:row>
      <xdr:rowOff>152400</xdr:rowOff>
    </xdr:to>
    <xdr:sp macro="" textlink="">
      <xdr:nvSpPr>
        <xdr:cNvPr id="315478" name="Rectangle 27"/>
        <xdr:cNvSpPr>
          <a:spLocks noChangeArrowheads="1"/>
        </xdr:cNvSpPr>
      </xdr:nvSpPr>
      <xdr:spPr bwMode="auto">
        <a:xfrm>
          <a:off x="58512075" y="3981450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79</xdr:col>
      <xdr:colOff>352425</xdr:colOff>
      <xdr:row>39</xdr:row>
      <xdr:rowOff>200025</xdr:rowOff>
    </xdr:from>
    <xdr:to>
      <xdr:col>79</xdr:col>
      <xdr:colOff>381000</xdr:colOff>
      <xdr:row>40</xdr:row>
      <xdr:rowOff>142875</xdr:rowOff>
    </xdr:to>
    <xdr:sp macro="" textlink="">
      <xdr:nvSpPr>
        <xdr:cNvPr id="315479" name="Rectangle 27"/>
        <xdr:cNvSpPr>
          <a:spLocks noChangeArrowheads="1"/>
        </xdr:cNvSpPr>
      </xdr:nvSpPr>
      <xdr:spPr bwMode="auto">
        <a:xfrm>
          <a:off x="58512075" y="8572500"/>
          <a:ext cx="285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79</xdr:col>
      <xdr:colOff>352425</xdr:colOff>
      <xdr:row>40</xdr:row>
      <xdr:rowOff>142875</xdr:rowOff>
    </xdr:from>
    <xdr:to>
      <xdr:col>79</xdr:col>
      <xdr:colOff>381000</xdr:colOff>
      <xdr:row>41</xdr:row>
      <xdr:rowOff>76200</xdr:rowOff>
    </xdr:to>
    <xdr:sp macro="" textlink="">
      <xdr:nvSpPr>
        <xdr:cNvPr id="315480" name="Rectangle 28"/>
        <xdr:cNvSpPr>
          <a:spLocks noChangeArrowheads="1"/>
        </xdr:cNvSpPr>
      </xdr:nvSpPr>
      <xdr:spPr bwMode="auto">
        <a:xfrm>
          <a:off x="58512075" y="8715375"/>
          <a:ext cx="285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79</xdr:col>
      <xdr:colOff>352425</xdr:colOff>
      <xdr:row>43</xdr:row>
      <xdr:rowOff>190500</xdr:rowOff>
    </xdr:from>
    <xdr:to>
      <xdr:col>79</xdr:col>
      <xdr:colOff>381000</xdr:colOff>
      <xdr:row>44</xdr:row>
      <xdr:rowOff>142875</xdr:rowOff>
    </xdr:to>
    <xdr:sp macro="" textlink="">
      <xdr:nvSpPr>
        <xdr:cNvPr id="315481" name="Rectangle 27"/>
        <xdr:cNvSpPr>
          <a:spLocks noChangeArrowheads="1"/>
        </xdr:cNvSpPr>
      </xdr:nvSpPr>
      <xdr:spPr bwMode="auto">
        <a:xfrm>
          <a:off x="58512075" y="9363075"/>
          <a:ext cx="285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79</xdr:col>
      <xdr:colOff>352425</xdr:colOff>
      <xdr:row>42</xdr:row>
      <xdr:rowOff>190500</xdr:rowOff>
    </xdr:from>
    <xdr:to>
      <xdr:col>79</xdr:col>
      <xdr:colOff>381000</xdr:colOff>
      <xdr:row>43</xdr:row>
      <xdr:rowOff>133350</xdr:rowOff>
    </xdr:to>
    <xdr:sp macro="" textlink="">
      <xdr:nvSpPr>
        <xdr:cNvPr id="315482" name="Rectangle 28"/>
        <xdr:cNvSpPr>
          <a:spLocks noChangeArrowheads="1"/>
        </xdr:cNvSpPr>
      </xdr:nvSpPr>
      <xdr:spPr bwMode="auto">
        <a:xfrm>
          <a:off x="58512075" y="9163050"/>
          <a:ext cx="285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79</xdr:col>
      <xdr:colOff>352425</xdr:colOff>
      <xdr:row>41</xdr:row>
      <xdr:rowOff>57150</xdr:rowOff>
    </xdr:from>
    <xdr:to>
      <xdr:col>79</xdr:col>
      <xdr:colOff>381000</xdr:colOff>
      <xdr:row>42</xdr:row>
      <xdr:rowOff>0</xdr:rowOff>
    </xdr:to>
    <xdr:sp macro="" textlink="">
      <xdr:nvSpPr>
        <xdr:cNvPr id="315483" name="Rectangle 28"/>
        <xdr:cNvSpPr>
          <a:spLocks noChangeArrowheads="1"/>
        </xdr:cNvSpPr>
      </xdr:nvSpPr>
      <xdr:spPr bwMode="auto">
        <a:xfrm>
          <a:off x="58512075" y="8829675"/>
          <a:ext cx="285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79</xdr:col>
      <xdr:colOff>352425</xdr:colOff>
      <xdr:row>34</xdr:row>
      <xdr:rowOff>190500</xdr:rowOff>
    </xdr:from>
    <xdr:to>
      <xdr:col>79</xdr:col>
      <xdr:colOff>381000</xdr:colOff>
      <xdr:row>35</xdr:row>
      <xdr:rowOff>133350</xdr:rowOff>
    </xdr:to>
    <xdr:sp macro="" textlink="">
      <xdr:nvSpPr>
        <xdr:cNvPr id="315484" name="Rectangle 27"/>
        <xdr:cNvSpPr>
          <a:spLocks noChangeArrowheads="1"/>
        </xdr:cNvSpPr>
      </xdr:nvSpPr>
      <xdr:spPr bwMode="auto">
        <a:xfrm>
          <a:off x="58512075" y="7562850"/>
          <a:ext cx="285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79</xdr:col>
      <xdr:colOff>352425</xdr:colOff>
      <xdr:row>31</xdr:row>
      <xdr:rowOff>161925</xdr:rowOff>
    </xdr:from>
    <xdr:to>
      <xdr:col>79</xdr:col>
      <xdr:colOff>381000</xdr:colOff>
      <xdr:row>32</xdr:row>
      <xdr:rowOff>123825</xdr:rowOff>
    </xdr:to>
    <xdr:sp macro="" textlink="">
      <xdr:nvSpPr>
        <xdr:cNvPr id="315485" name="Rectangle 27"/>
        <xdr:cNvSpPr>
          <a:spLocks noChangeArrowheads="1"/>
        </xdr:cNvSpPr>
      </xdr:nvSpPr>
      <xdr:spPr bwMode="auto">
        <a:xfrm>
          <a:off x="58512075" y="6934200"/>
          <a:ext cx="285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79</xdr:col>
      <xdr:colOff>352425</xdr:colOff>
      <xdr:row>32</xdr:row>
      <xdr:rowOff>104775</xdr:rowOff>
    </xdr:from>
    <xdr:to>
      <xdr:col>79</xdr:col>
      <xdr:colOff>381000</xdr:colOff>
      <xdr:row>33</xdr:row>
      <xdr:rowOff>57150</xdr:rowOff>
    </xdr:to>
    <xdr:sp macro="" textlink="">
      <xdr:nvSpPr>
        <xdr:cNvPr id="315486" name="Rectangle 28"/>
        <xdr:cNvSpPr>
          <a:spLocks noChangeArrowheads="1"/>
        </xdr:cNvSpPr>
      </xdr:nvSpPr>
      <xdr:spPr bwMode="auto">
        <a:xfrm>
          <a:off x="58512075" y="7077075"/>
          <a:ext cx="285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79</xdr:col>
      <xdr:colOff>352425</xdr:colOff>
      <xdr:row>31</xdr:row>
      <xdr:rowOff>142875</xdr:rowOff>
    </xdr:from>
    <xdr:to>
      <xdr:col>79</xdr:col>
      <xdr:colOff>381000</xdr:colOff>
      <xdr:row>32</xdr:row>
      <xdr:rowOff>95250</xdr:rowOff>
    </xdr:to>
    <xdr:sp macro="" textlink="">
      <xdr:nvSpPr>
        <xdr:cNvPr id="315487" name="Rectangle 27"/>
        <xdr:cNvSpPr>
          <a:spLocks noChangeArrowheads="1"/>
        </xdr:cNvSpPr>
      </xdr:nvSpPr>
      <xdr:spPr bwMode="auto">
        <a:xfrm>
          <a:off x="58512075" y="6915150"/>
          <a:ext cx="285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79</xdr:col>
      <xdr:colOff>352425</xdr:colOff>
      <xdr:row>32</xdr:row>
      <xdr:rowOff>66675</xdr:rowOff>
    </xdr:from>
    <xdr:to>
      <xdr:col>79</xdr:col>
      <xdr:colOff>381000</xdr:colOff>
      <xdr:row>33</xdr:row>
      <xdr:rowOff>9525</xdr:rowOff>
    </xdr:to>
    <xdr:sp macro="" textlink="">
      <xdr:nvSpPr>
        <xdr:cNvPr id="315488" name="Rectangle 28"/>
        <xdr:cNvSpPr>
          <a:spLocks noChangeArrowheads="1"/>
        </xdr:cNvSpPr>
      </xdr:nvSpPr>
      <xdr:spPr bwMode="auto">
        <a:xfrm>
          <a:off x="58512075" y="7038975"/>
          <a:ext cx="285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79</xdr:col>
      <xdr:colOff>352425</xdr:colOff>
      <xdr:row>16</xdr:row>
      <xdr:rowOff>0</xdr:rowOff>
    </xdr:from>
    <xdr:to>
      <xdr:col>79</xdr:col>
      <xdr:colOff>371475</xdr:colOff>
      <xdr:row>16</xdr:row>
      <xdr:rowOff>142875</xdr:rowOff>
    </xdr:to>
    <xdr:sp macro="" textlink="">
      <xdr:nvSpPr>
        <xdr:cNvPr id="315489" name="Rectangle 27"/>
        <xdr:cNvSpPr>
          <a:spLocks noChangeArrowheads="1"/>
        </xdr:cNvSpPr>
      </xdr:nvSpPr>
      <xdr:spPr bwMode="auto">
        <a:xfrm>
          <a:off x="58512075" y="3771900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79</xdr:col>
      <xdr:colOff>352425</xdr:colOff>
      <xdr:row>29</xdr:row>
      <xdr:rowOff>66675</xdr:rowOff>
    </xdr:from>
    <xdr:to>
      <xdr:col>79</xdr:col>
      <xdr:colOff>381000</xdr:colOff>
      <xdr:row>30</xdr:row>
      <xdr:rowOff>9525</xdr:rowOff>
    </xdr:to>
    <xdr:sp macro="" textlink="">
      <xdr:nvSpPr>
        <xdr:cNvPr id="315490" name="Rectangle 28"/>
        <xdr:cNvSpPr>
          <a:spLocks noChangeArrowheads="1"/>
        </xdr:cNvSpPr>
      </xdr:nvSpPr>
      <xdr:spPr bwMode="auto">
        <a:xfrm>
          <a:off x="58512075" y="6438900"/>
          <a:ext cx="285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79</xdr:col>
      <xdr:colOff>352425</xdr:colOff>
      <xdr:row>21</xdr:row>
      <xdr:rowOff>200025</xdr:rowOff>
    </xdr:from>
    <xdr:to>
      <xdr:col>79</xdr:col>
      <xdr:colOff>381000</xdr:colOff>
      <xdr:row>22</xdr:row>
      <xdr:rowOff>142875</xdr:rowOff>
    </xdr:to>
    <xdr:sp macro="" textlink="">
      <xdr:nvSpPr>
        <xdr:cNvPr id="315491" name="Rectangle 28"/>
        <xdr:cNvSpPr>
          <a:spLocks noChangeArrowheads="1"/>
        </xdr:cNvSpPr>
      </xdr:nvSpPr>
      <xdr:spPr bwMode="auto">
        <a:xfrm>
          <a:off x="58512075" y="4972050"/>
          <a:ext cx="285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79</xdr:col>
      <xdr:colOff>352425</xdr:colOff>
      <xdr:row>29</xdr:row>
      <xdr:rowOff>76200</xdr:rowOff>
    </xdr:from>
    <xdr:to>
      <xdr:col>79</xdr:col>
      <xdr:colOff>381000</xdr:colOff>
      <xdr:row>30</xdr:row>
      <xdr:rowOff>9525</xdr:rowOff>
    </xdr:to>
    <xdr:sp macro="" textlink="">
      <xdr:nvSpPr>
        <xdr:cNvPr id="315492" name="Rectangle 28"/>
        <xdr:cNvSpPr>
          <a:spLocks noChangeArrowheads="1"/>
        </xdr:cNvSpPr>
      </xdr:nvSpPr>
      <xdr:spPr bwMode="auto">
        <a:xfrm>
          <a:off x="58512075" y="6448425"/>
          <a:ext cx="285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79</xdr:col>
      <xdr:colOff>352425</xdr:colOff>
      <xdr:row>28</xdr:row>
      <xdr:rowOff>66675</xdr:rowOff>
    </xdr:from>
    <xdr:to>
      <xdr:col>79</xdr:col>
      <xdr:colOff>381000</xdr:colOff>
      <xdr:row>29</xdr:row>
      <xdr:rowOff>9525</xdr:rowOff>
    </xdr:to>
    <xdr:sp macro="" textlink="">
      <xdr:nvSpPr>
        <xdr:cNvPr id="315493" name="Rectangle 28"/>
        <xdr:cNvSpPr>
          <a:spLocks noChangeArrowheads="1"/>
        </xdr:cNvSpPr>
      </xdr:nvSpPr>
      <xdr:spPr bwMode="auto">
        <a:xfrm>
          <a:off x="58512075" y="6238875"/>
          <a:ext cx="285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79</xdr:col>
      <xdr:colOff>352425</xdr:colOff>
      <xdr:row>21</xdr:row>
      <xdr:rowOff>200025</xdr:rowOff>
    </xdr:from>
    <xdr:to>
      <xdr:col>79</xdr:col>
      <xdr:colOff>381000</xdr:colOff>
      <xdr:row>22</xdr:row>
      <xdr:rowOff>142875</xdr:rowOff>
    </xdr:to>
    <xdr:sp macro="" textlink="">
      <xdr:nvSpPr>
        <xdr:cNvPr id="315494" name="Rectangle 28"/>
        <xdr:cNvSpPr>
          <a:spLocks noChangeArrowheads="1"/>
        </xdr:cNvSpPr>
      </xdr:nvSpPr>
      <xdr:spPr bwMode="auto">
        <a:xfrm>
          <a:off x="58512075" y="4972050"/>
          <a:ext cx="285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79</xdr:col>
      <xdr:colOff>352425</xdr:colOff>
      <xdr:row>29</xdr:row>
      <xdr:rowOff>76200</xdr:rowOff>
    </xdr:from>
    <xdr:to>
      <xdr:col>79</xdr:col>
      <xdr:colOff>381000</xdr:colOff>
      <xdr:row>30</xdr:row>
      <xdr:rowOff>9525</xdr:rowOff>
    </xdr:to>
    <xdr:sp macro="" textlink="">
      <xdr:nvSpPr>
        <xdr:cNvPr id="315495" name="Rectangle 28"/>
        <xdr:cNvSpPr>
          <a:spLocks noChangeArrowheads="1"/>
        </xdr:cNvSpPr>
      </xdr:nvSpPr>
      <xdr:spPr bwMode="auto">
        <a:xfrm>
          <a:off x="58512075" y="6448425"/>
          <a:ext cx="285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79</xdr:col>
      <xdr:colOff>352425</xdr:colOff>
      <xdr:row>28</xdr:row>
      <xdr:rowOff>66675</xdr:rowOff>
    </xdr:from>
    <xdr:to>
      <xdr:col>79</xdr:col>
      <xdr:colOff>381000</xdr:colOff>
      <xdr:row>29</xdr:row>
      <xdr:rowOff>9525</xdr:rowOff>
    </xdr:to>
    <xdr:sp macro="" textlink="">
      <xdr:nvSpPr>
        <xdr:cNvPr id="315496" name="Rectangle 27"/>
        <xdr:cNvSpPr>
          <a:spLocks noChangeArrowheads="1"/>
        </xdr:cNvSpPr>
      </xdr:nvSpPr>
      <xdr:spPr bwMode="auto">
        <a:xfrm>
          <a:off x="58512075" y="6238875"/>
          <a:ext cx="285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79</xdr:col>
      <xdr:colOff>352425</xdr:colOff>
      <xdr:row>27</xdr:row>
      <xdr:rowOff>66675</xdr:rowOff>
    </xdr:from>
    <xdr:to>
      <xdr:col>79</xdr:col>
      <xdr:colOff>381000</xdr:colOff>
      <xdr:row>28</xdr:row>
      <xdr:rowOff>9525</xdr:rowOff>
    </xdr:to>
    <xdr:sp macro="" textlink="">
      <xdr:nvSpPr>
        <xdr:cNvPr id="315497" name="Rectangle 28"/>
        <xdr:cNvSpPr>
          <a:spLocks noChangeArrowheads="1"/>
        </xdr:cNvSpPr>
      </xdr:nvSpPr>
      <xdr:spPr bwMode="auto">
        <a:xfrm>
          <a:off x="58512075" y="6038850"/>
          <a:ext cx="285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79</xdr:col>
      <xdr:colOff>352425</xdr:colOff>
      <xdr:row>24</xdr:row>
      <xdr:rowOff>142875</xdr:rowOff>
    </xdr:from>
    <xdr:to>
      <xdr:col>79</xdr:col>
      <xdr:colOff>381000</xdr:colOff>
      <xdr:row>25</xdr:row>
      <xdr:rowOff>95250</xdr:rowOff>
    </xdr:to>
    <xdr:sp macro="" textlink="">
      <xdr:nvSpPr>
        <xdr:cNvPr id="315498" name="Rectangle 27"/>
        <xdr:cNvSpPr>
          <a:spLocks noChangeArrowheads="1"/>
        </xdr:cNvSpPr>
      </xdr:nvSpPr>
      <xdr:spPr bwMode="auto">
        <a:xfrm>
          <a:off x="58512075" y="5514975"/>
          <a:ext cx="285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79</xdr:col>
      <xdr:colOff>352425</xdr:colOff>
      <xdr:row>12</xdr:row>
      <xdr:rowOff>123825</xdr:rowOff>
    </xdr:from>
    <xdr:to>
      <xdr:col>79</xdr:col>
      <xdr:colOff>381000</xdr:colOff>
      <xdr:row>13</xdr:row>
      <xdr:rowOff>76200</xdr:rowOff>
    </xdr:to>
    <xdr:sp macro="" textlink="">
      <xdr:nvSpPr>
        <xdr:cNvPr id="315499" name="Rectangle 28"/>
        <xdr:cNvSpPr>
          <a:spLocks noChangeArrowheads="1"/>
        </xdr:cNvSpPr>
      </xdr:nvSpPr>
      <xdr:spPr bwMode="auto">
        <a:xfrm>
          <a:off x="58512075" y="3095625"/>
          <a:ext cx="285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79</xdr:col>
      <xdr:colOff>352425</xdr:colOff>
      <xdr:row>18</xdr:row>
      <xdr:rowOff>123825</xdr:rowOff>
    </xdr:from>
    <xdr:to>
      <xdr:col>79</xdr:col>
      <xdr:colOff>381000</xdr:colOff>
      <xdr:row>19</xdr:row>
      <xdr:rowOff>66675</xdr:rowOff>
    </xdr:to>
    <xdr:sp macro="" textlink="">
      <xdr:nvSpPr>
        <xdr:cNvPr id="315500" name="Rectangle 27"/>
        <xdr:cNvSpPr>
          <a:spLocks noChangeArrowheads="1"/>
        </xdr:cNvSpPr>
      </xdr:nvSpPr>
      <xdr:spPr bwMode="auto">
        <a:xfrm>
          <a:off x="58512075" y="4295775"/>
          <a:ext cx="285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79</xdr:col>
      <xdr:colOff>352425</xdr:colOff>
      <xdr:row>17</xdr:row>
      <xdr:rowOff>76200</xdr:rowOff>
    </xdr:from>
    <xdr:to>
      <xdr:col>79</xdr:col>
      <xdr:colOff>381000</xdr:colOff>
      <xdr:row>18</xdr:row>
      <xdr:rowOff>28575</xdr:rowOff>
    </xdr:to>
    <xdr:sp macro="" textlink="">
      <xdr:nvSpPr>
        <xdr:cNvPr id="315501" name="Rectangle 28"/>
        <xdr:cNvSpPr>
          <a:spLocks noChangeArrowheads="1"/>
        </xdr:cNvSpPr>
      </xdr:nvSpPr>
      <xdr:spPr bwMode="auto">
        <a:xfrm>
          <a:off x="58512075" y="4048125"/>
          <a:ext cx="285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79</xdr:col>
      <xdr:colOff>352425</xdr:colOff>
      <xdr:row>15</xdr:row>
      <xdr:rowOff>190500</xdr:rowOff>
    </xdr:from>
    <xdr:to>
      <xdr:col>79</xdr:col>
      <xdr:colOff>381000</xdr:colOff>
      <xdr:row>16</xdr:row>
      <xdr:rowOff>133350</xdr:rowOff>
    </xdr:to>
    <xdr:sp macro="" textlink="">
      <xdr:nvSpPr>
        <xdr:cNvPr id="315502" name="Rectangle 28"/>
        <xdr:cNvSpPr>
          <a:spLocks noChangeArrowheads="1"/>
        </xdr:cNvSpPr>
      </xdr:nvSpPr>
      <xdr:spPr bwMode="auto">
        <a:xfrm>
          <a:off x="58512075" y="3762375"/>
          <a:ext cx="285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79</xdr:col>
      <xdr:colOff>352425</xdr:colOff>
      <xdr:row>19</xdr:row>
      <xdr:rowOff>57150</xdr:rowOff>
    </xdr:from>
    <xdr:to>
      <xdr:col>79</xdr:col>
      <xdr:colOff>381000</xdr:colOff>
      <xdr:row>20</xdr:row>
      <xdr:rowOff>0</xdr:rowOff>
    </xdr:to>
    <xdr:sp macro="" textlink="">
      <xdr:nvSpPr>
        <xdr:cNvPr id="315503" name="Rectangle 28"/>
        <xdr:cNvSpPr>
          <a:spLocks noChangeArrowheads="1"/>
        </xdr:cNvSpPr>
      </xdr:nvSpPr>
      <xdr:spPr bwMode="auto">
        <a:xfrm>
          <a:off x="58512075" y="4429125"/>
          <a:ext cx="285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79</xdr:col>
      <xdr:colOff>352425</xdr:colOff>
      <xdr:row>19</xdr:row>
      <xdr:rowOff>57150</xdr:rowOff>
    </xdr:from>
    <xdr:to>
      <xdr:col>79</xdr:col>
      <xdr:colOff>381000</xdr:colOff>
      <xdr:row>20</xdr:row>
      <xdr:rowOff>0</xdr:rowOff>
    </xdr:to>
    <xdr:sp macro="" textlink="">
      <xdr:nvSpPr>
        <xdr:cNvPr id="315504" name="Rectangle 28"/>
        <xdr:cNvSpPr>
          <a:spLocks noChangeArrowheads="1"/>
        </xdr:cNvSpPr>
      </xdr:nvSpPr>
      <xdr:spPr bwMode="auto">
        <a:xfrm>
          <a:off x="58512075" y="4429125"/>
          <a:ext cx="285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79</xdr:col>
      <xdr:colOff>352425</xdr:colOff>
      <xdr:row>15</xdr:row>
      <xdr:rowOff>95250</xdr:rowOff>
    </xdr:from>
    <xdr:to>
      <xdr:col>79</xdr:col>
      <xdr:colOff>381000</xdr:colOff>
      <xdr:row>16</xdr:row>
      <xdr:rowOff>57150</xdr:rowOff>
    </xdr:to>
    <xdr:sp macro="" textlink="">
      <xdr:nvSpPr>
        <xdr:cNvPr id="315505" name="Rectangle 28"/>
        <xdr:cNvSpPr>
          <a:spLocks noChangeArrowheads="1"/>
        </xdr:cNvSpPr>
      </xdr:nvSpPr>
      <xdr:spPr bwMode="auto">
        <a:xfrm>
          <a:off x="58512075" y="3667125"/>
          <a:ext cx="285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79</xdr:col>
      <xdr:colOff>352425</xdr:colOff>
      <xdr:row>8</xdr:row>
      <xdr:rowOff>190500</xdr:rowOff>
    </xdr:from>
    <xdr:to>
      <xdr:col>79</xdr:col>
      <xdr:colOff>381000</xdr:colOff>
      <xdr:row>9</xdr:row>
      <xdr:rowOff>142875</xdr:rowOff>
    </xdr:to>
    <xdr:sp macro="" textlink="">
      <xdr:nvSpPr>
        <xdr:cNvPr id="315506" name="Rectangle 28"/>
        <xdr:cNvSpPr>
          <a:spLocks noChangeArrowheads="1"/>
        </xdr:cNvSpPr>
      </xdr:nvSpPr>
      <xdr:spPr bwMode="auto">
        <a:xfrm>
          <a:off x="58512075" y="2362200"/>
          <a:ext cx="285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79</xdr:col>
      <xdr:colOff>352425</xdr:colOff>
      <xdr:row>4</xdr:row>
      <xdr:rowOff>142875</xdr:rowOff>
    </xdr:from>
    <xdr:to>
      <xdr:col>79</xdr:col>
      <xdr:colOff>381000</xdr:colOff>
      <xdr:row>5</xdr:row>
      <xdr:rowOff>104775</xdr:rowOff>
    </xdr:to>
    <xdr:sp macro="" textlink="">
      <xdr:nvSpPr>
        <xdr:cNvPr id="315507" name="Rectangle 27"/>
        <xdr:cNvSpPr>
          <a:spLocks noChangeArrowheads="1"/>
        </xdr:cNvSpPr>
      </xdr:nvSpPr>
      <xdr:spPr bwMode="auto">
        <a:xfrm>
          <a:off x="58512075" y="1514475"/>
          <a:ext cx="285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79</xdr:col>
      <xdr:colOff>352425</xdr:colOff>
      <xdr:row>3</xdr:row>
      <xdr:rowOff>66675</xdr:rowOff>
    </xdr:from>
    <xdr:to>
      <xdr:col>79</xdr:col>
      <xdr:colOff>381000</xdr:colOff>
      <xdr:row>4</xdr:row>
      <xdr:rowOff>9525</xdr:rowOff>
    </xdr:to>
    <xdr:sp macro="" textlink="">
      <xdr:nvSpPr>
        <xdr:cNvPr id="315508" name="Rectangle 28"/>
        <xdr:cNvSpPr>
          <a:spLocks noChangeArrowheads="1"/>
        </xdr:cNvSpPr>
      </xdr:nvSpPr>
      <xdr:spPr bwMode="auto">
        <a:xfrm>
          <a:off x="58512075" y="1238250"/>
          <a:ext cx="285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79</xdr:col>
      <xdr:colOff>352425</xdr:colOff>
      <xdr:row>8</xdr:row>
      <xdr:rowOff>171450</xdr:rowOff>
    </xdr:from>
    <xdr:to>
      <xdr:col>79</xdr:col>
      <xdr:colOff>381000</xdr:colOff>
      <xdr:row>9</xdr:row>
      <xdr:rowOff>123825</xdr:rowOff>
    </xdr:to>
    <xdr:sp macro="" textlink="">
      <xdr:nvSpPr>
        <xdr:cNvPr id="315509" name="Rectangle 28"/>
        <xdr:cNvSpPr>
          <a:spLocks noChangeArrowheads="1"/>
        </xdr:cNvSpPr>
      </xdr:nvSpPr>
      <xdr:spPr bwMode="auto">
        <a:xfrm>
          <a:off x="58512075" y="2343150"/>
          <a:ext cx="285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79</xdr:col>
      <xdr:colOff>352425</xdr:colOff>
      <xdr:row>6</xdr:row>
      <xdr:rowOff>76200</xdr:rowOff>
    </xdr:from>
    <xdr:to>
      <xdr:col>79</xdr:col>
      <xdr:colOff>381000</xdr:colOff>
      <xdr:row>7</xdr:row>
      <xdr:rowOff>28575</xdr:rowOff>
    </xdr:to>
    <xdr:sp macro="" textlink="">
      <xdr:nvSpPr>
        <xdr:cNvPr id="315510" name="Rectangle 27"/>
        <xdr:cNvSpPr>
          <a:spLocks noChangeArrowheads="1"/>
        </xdr:cNvSpPr>
      </xdr:nvSpPr>
      <xdr:spPr bwMode="auto">
        <a:xfrm>
          <a:off x="58512075" y="1847850"/>
          <a:ext cx="285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79</xdr:col>
      <xdr:colOff>352425</xdr:colOff>
      <xdr:row>34</xdr:row>
      <xdr:rowOff>9525</xdr:rowOff>
    </xdr:from>
    <xdr:to>
      <xdr:col>79</xdr:col>
      <xdr:colOff>371475</xdr:colOff>
      <xdr:row>34</xdr:row>
      <xdr:rowOff>152400</xdr:rowOff>
    </xdr:to>
    <xdr:sp macro="" textlink="">
      <xdr:nvSpPr>
        <xdr:cNvPr id="315511" name="Rectangle 28"/>
        <xdr:cNvSpPr>
          <a:spLocks noChangeArrowheads="1"/>
        </xdr:cNvSpPr>
      </xdr:nvSpPr>
      <xdr:spPr bwMode="auto">
        <a:xfrm>
          <a:off x="58512075" y="7381875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77</xdr:col>
      <xdr:colOff>381000</xdr:colOff>
      <xdr:row>41</xdr:row>
      <xdr:rowOff>76200</xdr:rowOff>
    </xdr:from>
    <xdr:to>
      <xdr:col>77</xdr:col>
      <xdr:colOff>400050</xdr:colOff>
      <xdr:row>42</xdr:row>
      <xdr:rowOff>28575</xdr:rowOff>
    </xdr:to>
    <xdr:sp macro="" textlink="">
      <xdr:nvSpPr>
        <xdr:cNvPr id="315512" name="Rectangle 28"/>
        <xdr:cNvSpPr>
          <a:spLocks noChangeArrowheads="1"/>
        </xdr:cNvSpPr>
      </xdr:nvSpPr>
      <xdr:spPr bwMode="auto">
        <a:xfrm>
          <a:off x="57845325" y="8848725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77</xdr:col>
      <xdr:colOff>381000</xdr:colOff>
      <xdr:row>44</xdr:row>
      <xdr:rowOff>28575</xdr:rowOff>
    </xdr:from>
    <xdr:to>
      <xdr:col>77</xdr:col>
      <xdr:colOff>400050</xdr:colOff>
      <xdr:row>44</xdr:row>
      <xdr:rowOff>171450</xdr:rowOff>
    </xdr:to>
    <xdr:sp macro="" textlink="">
      <xdr:nvSpPr>
        <xdr:cNvPr id="315513" name="Rectangle 28"/>
        <xdr:cNvSpPr>
          <a:spLocks noChangeArrowheads="1"/>
        </xdr:cNvSpPr>
      </xdr:nvSpPr>
      <xdr:spPr bwMode="auto">
        <a:xfrm>
          <a:off x="57845325" y="9401175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77</xdr:col>
      <xdr:colOff>381000</xdr:colOff>
      <xdr:row>37</xdr:row>
      <xdr:rowOff>123825</xdr:rowOff>
    </xdr:from>
    <xdr:to>
      <xdr:col>77</xdr:col>
      <xdr:colOff>400050</xdr:colOff>
      <xdr:row>38</xdr:row>
      <xdr:rowOff>76200</xdr:rowOff>
    </xdr:to>
    <xdr:sp macro="" textlink="">
      <xdr:nvSpPr>
        <xdr:cNvPr id="315514" name="Rectangle 27"/>
        <xdr:cNvSpPr>
          <a:spLocks noChangeArrowheads="1"/>
        </xdr:cNvSpPr>
      </xdr:nvSpPr>
      <xdr:spPr bwMode="auto">
        <a:xfrm>
          <a:off x="57845325" y="8096250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77</xdr:col>
      <xdr:colOff>381000</xdr:colOff>
      <xdr:row>35</xdr:row>
      <xdr:rowOff>171450</xdr:rowOff>
    </xdr:from>
    <xdr:to>
      <xdr:col>77</xdr:col>
      <xdr:colOff>400050</xdr:colOff>
      <xdr:row>36</xdr:row>
      <xdr:rowOff>123825</xdr:rowOff>
    </xdr:to>
    <xdr:sp macro="" textlink="">
      <xdr:nvSpPr>
        <xdr:cNvPr id="315515" name="Rectangle 28"/>
        <xdr:cNvSpPr>
          <a:spLocks noChangeArrowheads="1"/>
        </xdr:cNvSpPr>
      </xdr:nvSpPr>
      <xdr:spPr bwMode="auto">
        <a:xfrm>
          <a:off x="57845325" y="7743825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77</xdr:col>
      <xdr:colOff>381000</xdr:colOff>
      <xdr:row>48</xdr:row>
      <xdr:rowOff>38100</xdr:rowOff>
    </xdr:from>
    <xdr:to>
      <xdr:col>77</xdr:col>
      <xdr:colOff>400050</xdr:colOff>
      <xdr:row>48</xdr:row>
      <xdr:rowOff>180975</xdr:rowOff>
    </xdr:to>
    <xdr:sp macro="" textlink="">
      <xdr:nvSpPr>
        <xdr:cNvPr id="315516" name="Rectangle 27"/>
        <xdr:cNvSpPr>
          <a:spLocks noChangeArrowheads="1"/>
        </xdr:cNvSpPr>
      </xdr:nvSpPr>
      <xdr:spPr bwMode="auto">
        <a:xfrm>
          <a:off x="57845325" y="10210800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77</xdr:col>
      <xdr:colOff>381000</xdr:colOff>
      <xdr:row>14</xdr:row>
      <xdr:rowOff>38100</xdr:rowOff>
    </xdr:from>
    <xdr:to>
      <xdr:col>77</xdr:col>
      <xdr:colOff>400050</xdr:colOff>
      <xdr:row>14</xdr:row>
      <xdr:rowOff>180975</xdr:rowOff>
    </xdr:to>
    <xdr:sp macro="" textlink="">
      <xdr:nvSpPr>
        <xdr:cNvPr id="315517" name="Rectangle 28"/>
        <xdr:cNvSpPr>
          <a:spLocks noChangeArrowheads="1"/>
        </xdr:cNvSpPr>
      </xdr:nvSpPr>
      <xdr:spPr bwMode="auto">
        <a:xfrm>
          <a:off x="57845325" y="3409950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352425</xdr:colOff>
      <xdr:row>4</xdr:row>
      <xdr:rowOff>0</xdr:rowOff>
    </xdr:from>
    <xdr:to>
      <xdr:col>1</xdr:col>
      <xdr:colOff>371475</xdr:colOff>
      <xdr:row>4</xdr:row>
      <xdr:rowOff>142875</xdr:rowOff>
    </xdr:to>
    <xdr:sp macro="" textlink="">
      <xdr:nvSpPr>
        <xdr:cNvPr id="315518" name="Rectangle 27"/>
        <xdr:cNvSpPr>
          <a:spLocks noChangeArrowheads="1"/>
        </xdr:cNvSpPr>
      </xdr:nvSpPr>
      <xdr:spPr bwMode="auto">
        <a:xfrm>
          <a:off x="514350" y="1371600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352425</xdr:colOff>
      <xdr:row>4</xdr:row>
      <xdr:rowOff>0</xdr:rowOff>
    </xdr:from>
    <xdr:to>
      <xdr:col>1</xdr:col>
      <xdr:colOff>371475</xdr:colOff>
      <xdr:row>4</xdr:row>
      <xdr:rowOff>142875</xdr:rowOff>
    </xdr:to>
    <xdr:sp macro="" textlink="">
      <xdr:nvSpPr>
        <xdr:cNvPr id="315519" name="Rectangle 28"/>
        <xdr:cNvSpPr>
          <a:spLocks noChangeArrowheads="1"/>
        </xdr:cNvSpPr>
      </xdr:nvSpPr>
      <xdr:spPr bwMode="auto">
        <a:xfrm>
          <a:off x="514350" y="1371600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603250</xdr:colOff>
      <xdr:row>15</xdr:row>
      <xdr:rowOff>66675</xdr:rowOff>
    </xdr:from>
    <xdr:to>
      <xdr:col>15</xdr:col>
      <xdr:colOff>1123767</xdr:colOff>
      <xdr:row>16</xdr:row>
      <xdr:rowOff>3175</xdr:rowOff>
    </xdr:to>
    <xdr:sp macro="" textlink="">
      <xdr:nvSpPr>
        <xdr:cNvPr id="166" name="Šipka doleva 165"/>
        <xdr:cNvSpPr/>
      </xdr:nvSpPr>
      <xdr:spPr>
        <a:xfrm>
          <a:off x="11115675" y="3686175"/>
          <a:ext cx="520700" cy="139700"/>
        </a:xfrm>
        <a:prstGeom prst="leftArrow">
          <a:avLst/>
        </a:prstGeom>
        <a:solidFill>
          <a:srgbClr val="FF0000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cs-CZ"/>
        </a:p>
      </xdr:txBody>
    </xdr:sp>
    <xdr:clientData/>
  </xdr:twoCellAnchor>
  <xdr:twoCellAnchor editAs="oneCell">
    <xdr:from>
      <xdr:col>1</xdr:col>
      <xdr:colOff>352425</xdr:colOff>
      <xdr:row>3</xdr:row>
      <xdr:rowOff>0</xdr:rowOff>
    </xdr:from>
    <xdr:to>
      <xdr:col>1</xdr:col>
      <xdr:colOff>371475</xdr:colOff>
      <xdr:row>3</xdr:row>
      <xdr:rowOff>142875</xdr:rowOff>
    </xdr:to>
    <xdr:sp macro="" textlink="">
      <xdr:nvSpPr>
        <xdr:cNvPr id="315521" name="Rectangle 28"/>
        <xdr:cNvSpPr>
          <a:spLocks noChangeArrowheads="1"/>
        </xdr:cNvSpPr>
      </xdr:nvSpPr>
      <xdr:spPr bwMode="auto">
        <a:xfrm>
          <a:off x="514350" y="1171575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352425</xdr:colOff>
      <xdr:row>3</xdr:row>
      <xdr:rowOff>0</xdr:rowOff>
    </xdr:from>
    <xdr:to>
      <xdr:col>1</xdr:col>
      <xdr:colOff>371475</xdr:colOff>
      <xdr:row>3</xdr:row>
      <xdr:rowOff>142875</xdr:rowOff>
    </xdr:to>
    <xdr:sp macro="" textlink="">
      <xdr:nvSpPr>
        <xdr:cNvPr id="315522" name="Rectangle 28"/>
        <xdr:cNvSpPr>
          <a:spLocks noChangeArrowheads="1"/>
        </xdr:cNvSpPr>
      </xdr:nvSpPr>
      <xdr:spPr bwMode="auto">
        <a:xfrm>
          <a:off x="514350" y="1171575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352425</xdr:colOff>
      <xdr:row>3</xdr:row>
      <xdr:rowOff>0</xdr:rowOff>
    </xdr:from>
    <xdr:to>
      <xdr:col>1</xdr:col>
      <xdr:colOff>371475</xdr:colOff>
      <xdr:row>3</xdr:row>
      <xdr:rowOff>142875</xdr:rowOff>
    </xdr:to>
    <xdr:sp macro="" textlink="">
      <xdr:nvSpPr>
        <xdr:cNvPr id="315523" name="Rectangle 28"/>
        <xdr:cNvSpPr>
          <a:spLocks noChangeArrowheads="1"/>
        </xdr:cNvSpPr>
      </xdr:nvSpPr>
      <xdr:spPr bwMode="auto">
        <a:xfrm>
          <a:off x="514350" y="1171575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352425</xdr:colOff>
      <xdr:row>3</xdr:row>
      <xdr:rowOff>0</xdr:rowOff>
    </xdr:from>
    <xdr:to>
      <xdr:col>1</xdr:col>
      <xdr:colOff>371475</xdr:colOff>
      <xdr:row>3</xdr:row>
      <xdr:rowOff>142875</xdr:rowOff>
    </xdr:to>
    <xdr:sp macro="" textlink="">
      <xdr:nvSpPr>
        <xdr:cNvPr id="315524" name="Rectangle 28"/>
        <xdr:cNvSpPr>
          <a:spLocks noChangeArrowheads="1"/>
        </xdr:cNvSpPr>
      </xdr:nvSpPr>
      <xdr:spPr bwMode="auto">
        <a:xfrm>
          <a:off x="514350" y="1171575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400050</xdr:colOff>
      <xdr:row>3</xdr:row>
      <xdr:rowOff>190500</xdr:rowOff>
    </xdr:from>
    <xdr:to>
      <xdr:col>9</xdr:col>
      <xdr:colOff>419100</xdr:colOff>
      <xdr:row>4</xdr:row>
      <xdr:rowOff>123825</xdr:rowOff>
    </xdr:to>
    <xdr:sp macro="" textlink="">
      <xdr:nvSpPr>
        <xdr:cNvPr id="315525" name="Rectangle 28"/>
        <xdr:cNvSpPr>
          <a:spLocks noChangeArrowheads="1"/>
        </xdr:cNvSpPr>
      </xdr:nvSpPr>
      <xdr:spPr bwMode="auto">
        <a:xfrm>
          <a:off x="6972300" y="1362075"/>
          <a:ext cx="1905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3</xdr:row>
      <xdr:rowOff>0</xdr:rowOff>
    </xdr:from>
    <xdr:to>
      <xdr:col>2</xdr:col>
      <xdr:colOff>266700</xdr:colOff>
      <xdr:row>3</xdr:row>
      <xdr:rowOff>142875</xdr:rowOff>
    </xdr:to>
    <xdr:sp macro="" textlink="">
      <xdr:nvSpPr>
        <xdr:cNvPr id="315526" name="Rectangle 27"/>
        <xdr:cNvSpPr>
          <a:spLocks noChangeArrowheads="1"/>
        </xdr:cNvSpPr>
      </xdr:nvSpPr>
      <xdr:spPr bwMode="auto">
        <a:xfrm>
          <a:off x="1990725" y="1171575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102</xdr:col>
      <xdr:colOff>0</xdr:colOff>
      <xdr:row>3</xdr:row>
      <xdr:rowOff>0</xdr:rowOff>
    </xdr:from>
    <xdr:to>
      <xdr:col>102</xdr:col>
      <xdr:colOff>190500</xdr:colOff>
      <xdr:row>7</xdr:row>
      <xdr:rowOff>123825</xdr:rowOff>
    </xdr:to>
    <xdr:sp macro="" textlink="">
      <xdr:nvSpPr>
        <xdr:cNvPr id="315527" name="Obdélník 1540"/>
        <xdr:cNvSpPr>
          <a:spLocks noChangeArrowheads="1"/>
        </xdr:cNvSpPr>
      </xdr:nvSpPr>
      <xdr:spPr bwMode="auto">
        <a:xfrm>
          <a:off x="74333100" y="1171575"/>
          <a:ext cx="190500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102</xdr:col>
      <xdr:colOff>0</xdr:colOff>
      <xdr:row>43</xdr:row>
      <xdr:rowOff>0</xdr:rowOff>
    </xdr:from>
    <xdr:to>
      <xdr:col>102</xdr:col>
      <xdr:colOff>19050</xdr:colOff>
      <xdr:row>43</xdr:row>
      <xdr:rowOff>142875</xdr:rowOff>
    </xdr:to>
    <xdr:sp macro="" textlink="">
      <xdr:nvSpPr>
        <xdr:cNvPr id="315528" name="Rectangle 28"/>
        <xdr:cNvSpPr>
          <a:spLocks noChangeArrowheads="1"/>
        </xdr:cNvSpPr>
      </xdr:nvSpPr>
      <xdr:spPr bwMode="auto">
        <a:xfrm>
          <a:off x="74333100" y="9172575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102</xdr:col>
      <xdr:colOff>0</xdr:colOff>
      <xdr:row>43</xdr:row>
      <xdr:rowOff>0</xdr:rowOff>
    </xdr:from>
    <xdr:to>
      <xdr:col>102</xdr:col>
      <xdr:colOff>19050</xdr:colOff>
      <xdr:row>43</xdr:row>
      <xdr:rowOff>142875</xdr:rowOff>
    </xdr:to>
    <xdr:sp macro="" textlink="">
      <xdr:nvSpPr>
        <xdr:cNvPr id="315529" name="Rectangle 28"/>
        <xdr:cNvSpPr>
          <a:spLocks noChangeArrowheads="1"/>
        </xdr:cNvSpPr>
      </xdr:nvSpPr>
      <xdr:spPr bwMode="auto">
        <a:xfrm>
          <a:off x="74333100" y="9172575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102</xdr:col>
      <xdr:colOff>0</xdr:colOff>
      <xdr:row>43</xdr:row>
      <xdr:rowOff>0</xdr:rowOff>
    </xdr:from>
    <xdr:to>
      <xdr:col>102</xdr:col>
      <xdr:colOff>19050</xdr:colOff>
      <xdr:row>43</xdr:row>
      <xdr:rowOff>142875</xdr:rowOff>
    </xdr:to>
    <xdr:sp macro="" textlink="">
      <xdr:nvSpPr>
        <xdr:cNvPr id="315530" name="Rectangle 28"/>
        <xdr:cNvSpPr>
          <a:spLocks noChangeArrowheads="1"/>
        </xdr:cNvSpPr>
      </xdr:nvSpPr>
      <xdr:spPr bwMode="auto">
        <a:xfrm>
          <a:off x="74333100" y="9172575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102</xdr:col>
      <xdr:colOff>0</xdr:colOff>
      <xdr:row>43</xdr:row>
      <xdr:rowOff>0</xdr:rowOff>
    </xdr:from>
    <xdr:to>
      <xdr:col>102</xdr:col>
      <xdr:colOff>19050</xdr:colOff>
      <xdr:row>43</xdr:row>
      <xdr:rowOff>142875</xdr:rowOff>
    </xdr:to>
    <xdr:sp macro="" textlink="">
      <xdr:nvSpPr>
        <xdr:cNvPr id="315531" name="Rectangle 27"/>
        <xdr:cNvSpPr>
          <a:spLocks noChangeArrowheads="1"/>
        </xdr:cNvSpPr>
      </xdr:nvSpPr>
      <xdr:spPr bwMode="auto">
        <a:xfrm>
          <a:off x="74333100" y="9172575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102</xdr:col>
      <xdr:colOff>0</xdr:colOff>
      <xdr:row>43</xdr:row>
      <xdr:rowOff>0</xdr:rowOff>
    </xdr:from>
    <xdr:to>
      <xdr:col>102</xdr:col>
      <xdr:colOff>19050</xdr:colOff>
      <xdr:row>43</xdr:row>
      <xdr:rowOff>142875</xdr:rowOff>
    </xdr:to>
    <xdr:sp macro="" textlink="">
      <xdr:nvSpPr>
        <xdr:cNvPr id="315532" name="Rectangle 28"/>
        <xdr:cNvSpPr>
          <a:spLocks noChangeArrowheads="1"/>
        </xdr:cNvSpPr>
      </xdr:nvSpPr>
      <xdr:spPr bwMode="auto">
        <a:xfrm>
          <a:off x="74333100" y="9172575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102</xdr:col>
      <xdr:colOff>0</xdr:colOff>
      <xdr:row>43</xdr:row>
      <xdr:rowOff>0</xdr:rowOff>
    </xdr:from>
    <xdr:to>
      <xdr:col>102</xdr:col>
      <xdr:colOff>19050</xdr:colOff>
      <xdr:row>43</xdr:row>
      <xdr:rowOff>142875</xdr:rowOff>
    </xdr:to>
    <xdr:sp macro="" textlink="">
      <xdr:nvSpPr>
        <xdr:cNvPr id="315533" name="Rectangle 27"/>
        <xdr:cNvSpPr>
          <a:spLocks noChangeArrowheads="1"/>
        </xdr:cNvSpPr>
      </xdr:nvSpPr>
      <xdr:spPr bwMode="auto">
        <a:xfrm>
          <a:off x="74333100" y="9172575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102</xdr:col>
      <xdr:colOff>0</xdr:colOff>
      <xdr:row>43</xdr:row>
      <xdr:rowOff>0</xdr:rowOff>
    </xdr:from>
    <xdr:to>
      <xdr:col>102</xdr:col>
      <xdr:colOff>19050</xdr:colOff>
      <xdr:row>43</xdr:row>
      <xdr:rowOff>142875</xdr:rowOff>
    </xdr:to>
    <xdr:sp macro="" textlink="">
      <xdr:nvSpPr>
        <xdr:cNvPr id="315534" name="Rectangle 28"/>
        <xdr:cNvSpPr>
          <a:spLocks noChangeArrowheads="1"/>
        </xdr:cNvSpPr>
      </xdr:nvSpPr>
      <xdr:spPr bwMode="auto">
        <a:xfrm>
          <a:off x="74333100" y="9172575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102</xdr:col>
      <xdr:colOff>0</xdr:colOff>
      <xdr:row>43</xdr:row>
      <xdr:rowOff>0</xdr:rowOff>
    </xdr:from>
    <xdr:to>
      <xdr:col>102</xdr:col>
      <xdr:colOff>19050</xdr:colOff>
      <xdr:row>43</xdr:row>
      <xdr:rowOff>142875</xdr:rowOff>
    </xdr:to>
    <xdr:sp macro="" textlink="">
      <xdr:nvSpPr>
        <xdr:cNvPr id="315535" name="Rectangle 28"/>
        <xdr:cNvSpPr>
          <a:spLocks noChangeArrowheads="1"/>
        </xdr:cNvSpPr>
      </xdr:nvSpPr>
      <xdr:spPr bwMode="auto">
        <a:xfrm>
          <a:off x="74333100" y="9172575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102</xdr:col>
      <xdr:colOff>0</xdr:colOff>
      <xdr:row>43</xdr:row>
      <xdr:rowOff>0</xdr:rowOff>
    </xdr:from>
    <xdr:to>
      <xdr:col>102</xdr:col>
      <xdr:colOff>19050</xdr:colOff>
      <xdr:row>43</xdr:row>
      <xdr:rowOff>142875</xdr:rowOff>
    </xdr:to>
    <xdr:sp macro="" textlink="">
      <xdr:nvSpPr>
        <xdr:cNvPr id="315536" name="Rectangle 28"/>
        <xdr:cNvSpPr>
          <a:spLocks noChangeArrowheads="1"/>
        </xdr:cNvSpPr>
      </xdr:nvSpPr>
      <xdr:spPr bwMode="auto">
        <a:xfrm>
          <a:off x="74333100" y="9172575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102</xdr:col>
      <xdr:colOff>0</xdr:colOff>
      <xdr:row>43</xdr:row>
      <xdr:rowOff>0</xdr:rowOff>
    </xdr:from>
    <xdr:to>
      <xdr:col>102</xdr:col>
      <xdr:colOff>19050</xdr:colOff>
      <xdr:row>43</xdr:row>
      <xdr:rowOff>142875</xdr:rowOff>
    </xdr:to>
    <xdr:sp macro="" textlink="">
      <xdr:nvSpPr>
        <xdr:cNvPr id="315537" name="Rectangle 28"/>
        <xdr:cNvSpPr>
          <a:spLocks noChangeArrowheads="1"/>
        </xdr:cNvSpPr>
      </xdr:nvSpPr>
      <xdr:spPr bwMode="auto">
        <a:xfrm>
          <a:off x="74333100" y="9172575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102</xdr:col>
      <xdr:colOff>0</xdr:colOff>
      <xdr:row>43</xdr:row>
      <xdr:rowOff>0</xdr:rowOff>
    </xdr:from>
    <xdr:to>
      <xdr:col>102</xdr:col>
      <xdr:colOff>19050</xdr:colOff>
      <xdr:row>43</xdr:row>
      <xdr:rowOff>142875</xdr:rowOff>
    </xdr:to>
    <xdr:sp macro="" textlink="">
      <xdr:nvSpPr>
        <xdr:cNvPr id="315538" name="Rectangle 27"/>
        <xdr:cNvSpPr>
          <a:spLocks noChangeArrowheads="1"/>
        </xdr:cNvSpPr>
      </xdr:nvSpPr>
      <xdr:spPr bwMode="auto">
        <a:xfrm>
          <a:off x="74333100" y="9172575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102</xdr:col>
      <xdr:colOff>0</xdr:colOff>
      <xdr:row>43</xdr:row>
      <xdr:rowOff>0</xdr:rowOff>
    </xdr:from>
    <xdr:to>
      <xdr:col>102</xdr:col>
      <xdr:colOff>19050</xdr:colOff>
      <xdr:row>43</xdr:row>
      <xdr:rowOff>142875</xdr:rowOff>
    </xdr:to>
    <xdr:sp macro="" textlink="">
      <xdr:nvSpPr>
        <xdr:cNvPr id="315539" name="Rectangle 27"/>
        <xdr:cNvSpPr>
          <a:spLocks noChangeArrowheads="1"/>
        </xdr:cNvSpPr>
      </xdr:nvSpPr>
      <xdr:spPr bwMode="auto">
        <a:xfrm>
          <a:off x="74333100" y="9172575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102</xdr:col>
      <xdr:colOff>0</xdr:colOff>
      <xdr:row>43</xdr:row>
      <xdr:rowOff>0</xdr:rowOff>
    </xdr:from>
    <xdr:to>
      <xdr:col>102</xdr:col>
      <xdr:colOff>19050</xdr:colOff>
      <xdr:row>43</xdr:row>
      <xdr:rowOff>142875</xdr:rowOff>
    </xdr:to>
    <xdr:sp macro="" textlink="">
      <xdr:nvSpPr>
        <xdr:cNvPr id="315540" name="Rectangle 28"/>
        <xdr:cNvSpPr>
          <a:spLocks noChangeArrowheads="1"/>
        </xdr:cNvSpPr>
      </xdr:nvSpPr>
      <xdr:spPr bwMode="auto">
        <a:xfrm>
          <a:off x="74333100" y="9172575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102</xdr:col>
      <xdr:colOff>0</xdr:colOff>
      <xdr:row>43</xdr:row>
      <xdr:rowOff>0</xdr:rowOff>
    </xdr:from>
    <xdr:to>
      <xdr:col>102</xdr:col>
      <xdr:colOff>19050</xdr:colOff>
      <xdr:row>43</xdr:row>
      <xdr:rowOff>142875</xdr:rowOff>
    </xdr:to>
    <xdr:sp macro="" textlink="">
      <xdr:nvSpPr>
        <xdr:cNvPr id="315541" name="Rectangle 28"/>
        <xdr:cNvSpPr>
          <a:spLocks noChangeArrowheads="1"/>
        </xdr:cNvSpPr>
      </xdr:nvSpPr>
      <xdr:spPr bwMode="auto">
        <a:xfrm>
          <a:off x="74333100" y="9172575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102</xdr:col>
      <xdr:colOff>0</xdr:colOff>
      <xdr:row>43</xdr:row>
      <xdr:rowOff>0</xdr:rowOff>
    </xdr:from>
    <xdr:to>
      <xdr:col>102</xdr:col>
      <xdr:colOff>19050</xdr:colOff>
      <xdr:row>43</xdr:row>
      <xdr:rowOff>142875</xdr:rowOff>
    </xdr:to>
    <xdr:sp macro="" textlink="">
      <xdr:nvSpPr>
        <xdr:cNvPr id="315542" name="Rectangle 28"/>
        <xdr:cNvSpPr>
          <a:spLocks noChangeArrowheads="1"/>
        </xdr:cNvSpPr>
      </xdr:nvSpPr>
      <xdr:spPr bwMode="auto">
        <a:xfrm>
          <a:off x="74333100" y="9172575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102</xdr:col>
      <xdr:colOff>0</xdr:colOff>
      <xdr:row>43</xdr:row>
      <xdr:rowOff>0</xdr:rowOff>
    </xdr:from>
    <xdr:to>
      <xdr:col>102</xdr:col>
      <xdr:colOff>19050</xdr:colOff>
      <xdr:row>43</xdr:row>
      <xdr:rowOff>142875</xdr:rowOff>
    </xdr:to>
    <xdr:sp macro="" textlink="">
      <xdr:nvSpPr>
        <xdr:cNvPr id="315543" name="Rectangle 27"/>
        <xdr:cNvSpPr>
          <a:spLocks noChangeArrowheads="1"/>
        </xdr:cNvSpPr>
      </xdr:nvSpPr>
      <xdr:spPr bwMode="auto">
        <a:xfrm>
          <a:off x="74333100" y="9172575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102</xdr:col>
      <xdr:colOff>0</xdr:colOff>
      <xdr:row>43</xdr:row>
      <xdr:rowOff>0</xdr:rowOff>
    </xdr:from>
    <xdr:to>
      <xdr:col>102</xdr:col>
      <xdr:colOff>19050</xdr:colOff>
      <xdr:row>43</xdr:row>
      <xdr:rowOff>142875</xdr:rowOff>
    </xdr:to>
    <xdr:sp macro="" textlink="">
      <xdr:nvSpPr>
        <xdr:cNvPr id="315544" name="Rectangle 27"/>
        <xdr:cNvSpPr>
          <a:spLocks noChangeArrowheads="1"/>
        </xdr:cNvSpPr>
      </xdr:nvSpPr>
      <xdr:spPr bwMode="auto">
        <a:xfrm>
          <a:off x="74333100" y="9172575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102</xdr:col>
      <xdr:colOff>0</xdr:colOff>
      <xdr:row>43</xdr:row>
      <xdr:rowOff>0</xdr:rowOff>
    </xdr:from>
    <xdr:to>
      <xdr:col>102</xdr:col>
      <xdr:colOff>19050</xdr:colOff>
      <xdr:row>43</xdr:row>
      <xdr:rowOff>142875</xdr:rowOff>
    </xdr:to>
    <xdr:sp macro="" textlink="">
      <xdr:nvSpPr>
        <xdr:cNvPr id="315545" name="Rectangle 28"/>
        <xdr:cNvSpPr>
          <a:spLocks noChangeArrowheads="1"/>
        </xdr:cNvSpPr>
      </xdr:nvSpPr>
      <xdr:spPr bwMode="auto">
        <a:xfrm>
          <a:off x="74333100" y="9172575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102</xdr:col>
      <xdr:colOff>0</xdr:colOff>
      <xdr:row>43</xdr:row>
      <xdr:rowOff>0</xdr:rowOff>
    </xdr:from>
    <xdr:to>
      <xdr:col>102</xdr:col>
      <xdr:colOff>19050</xdr:colOff>
      <xdr:row>43</xdr:row>
      <xdr:rowOff>142875</xdr:rowOff>
    </xdr:to>
    <xdr:sp macro="" textlink="">
      <xdr:nvSpPr>
        <xdr:cNvPr id="315546" name="Rectangle 28"/>
        <xdr:cNvSpPr>
          <a:spLocks noChangeArrowheads="1"/>
        </xdr:cNvSpPr>
      </xdr:nvSpPr>
      <xdr:spPr bwMode="auto">
        <a:xfrm>
          <a:off x="74333100" y="9172575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102</xdr:col>
      <xdr:colOff>0</xdr:colOff>
      <xdr:row>43</xdr:row>
      <xdr:rowOff>0</xdr:rowOff>
    </xdr:from>
    <xdr:to>
      <xdr:col>102</xdr:col>
      <xdr:colOff>19050</xdr:colOff>
      <xdr:row>43</xdr:row>
      <xdr:rowOff>142875</xdr:rowOff>
    </xdr:to>
    <xdr:sp macro="" textlink="">
      <xdr:nvSpPr>
        <xdr:cNvPr id="315547" name="Rectangle 28"/>
        <xdr:cNvSpPr>
          <a:spLocks noChangeArrowheads="1"/>
        </xdr:cNvSpPr>
      </xdr:nvSpPr>
      <xdr:spPr bwMode="auto">
        <a:xfrm>
          <a:off x="74333100" y="9172575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102</xdr:col>
      <xdr:colOff>0</xdr:colOff>
      <xdr:row>43</xdr:row>
      <xdr:rowOff>0</xdr:rowOff>
    </xdr:from>
    <xdr:to>
      <xdr:col>102</xdr:col>
      <xdr:colOff>19050</xdr:colOff>
      <xdr:row>43</xdr:row>
      <xdr:rowOff>142875</xdr:rowOff>
    </xdr:to>
    <xdr:sp macro="" textlink="">
      <xdr:nvSpPr>
        <xdr:cNvPr id="315548" name="Rectangle 28"/>
        <xdr:cNvSpPr>
          <a:spLocks noChangeArrowheads="1"/>
        </xdr:cNvSpPr>
      </xdr:nvSpPr>
      <xdr:spPr bwMode="auto">
        <a:xfrm>
          <a:off x="74333100" y="9172575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102</xdr:col>
      <xdr:colOff>0</xdr:colOff>
      <xdr:row>43</xdr:row>
      <xdr:rowOff>0</xdr:rowOff>
    </xdr:from>
    <xdr:to>
      <xdr:col>102</xdr:col>
      <xdr:colOff>19050</xdr:colOff>
      <xdr:row>43</xdr:row>
      <xdr:rowOff>142875</xdr:rowOff>
    </xdr:to>
    <xdr:sp macro="" textlink="">
      <xdr:nvSpPr>
        <xdr:cNvPr id="315549" name="Rectangle 28"/>
        <xdr:cNvSpPr>
          <a:spLocks noChangeArrowheads="1"/>
        </xdr:cNvSpPr>
      </xdr:nvSpPr>
      <xdr:spPr bwMode="auto">
        <a:xfrm>
          <a:off x="74333100" y="9172575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102</xdr:col>
      <xdr:colOff>0</xdr:colOff>
      <xdr:row>43</xdr:row>
      <xdr:rowOff>0</xdr:rowOff>
    </xdr:from>
    <xdr:to>
      <xdr:col>102</xdr:col>
      <xdr:colOff>19050</xdr:colOff>
      <xdr:row>43</xdr:row>
      <xdr:rowOff>142875</xdr:rowOff>
    </xdr:to>
    <xdr:sp macro="" textlink="">
      <xdr:nvSpPr>
        <xdr:cNvPr id="315550" name="Rectangle 27"/>
        <xdr:cNvSpPr>
          <a:spLocks noChangeArrowheads="1"/>
        </xdr:cNvSpPr>
      </xdr:nvSpPr>
      <xdr:spPr bwMode="auto">
        <a:xfrm>
          <a:off x="74333100" y="9172575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102</xdr:col>
      <xdr:colOff>0</xdr:colOff>
      <xdr:row>43</xdr:row>
      <xdr:rowOff>0</xdr:rowOff>
    </xdr:from>
    <xdr:to>
      <xdr:col>102</xdr:col>
      <xdr:colOff>19050</xdr:colOff>
      <xdr:row>43</xdr:row>
      <xdr:rowOff>142875</xdr:rowOff>
    </xdr:to>
    <xdr:sp macro="" textlink="">
      <xdr:nvSpPr>
        <xdr:cNvPr id="315551" name="Rectangle 28"/>
        <xdr:cNvSpPr>
          <a:spLocks noChangeArrowheads="1"/>
        </xdr:cNvSpPr>
      </xdr:nvSpPr>
      <xdr:spPr bwMode="auto">
        <a:xfrm>
          <a:off x="74333100" y="9172575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102</xdr:col>
      <xdr:colOff>0</xdr:colOff>
      <xdr:row>43</xdr:row>
      <xdr:rowOff>0</xdr:rowOff>
    </xdr:from>
    <xdr:to>
      <xdr:col>102</xdr:col>
      <xdr:colOff>19050</xdr:colOff>
      <xdr:row>43</xdr:row>
      <xdr:rowOff>142875</xdr:rowOff>
    </xdr:to>
    <xdr:sp macro="" textlink="">
      <xdr:nvSpPr>
        <xdr:cNvPr id="315552" name="Rectangle 27"/>
        <xdr:cNvSpPr>
          <a:spLocks noChangeArrowheads="1"/>
        </xdr:cNvSpPr>
      </xdr:nvSpPr>
      <xdr:spPr bwMode="auto">
        <a:xfrm>
          <a:off x="74333100" y="9172575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102</xdr:col>
      <xdr:colOff>0</xdr:colOff>
      <xdr:row>43</xdr:row>
      <xdr:rowOff>0</xdr:rowOff>
    </xdr:from>
    <xdr:to>
      <xdr:col>102</xdr:col>
      <xdr:colOff>19050</xdr:colOff>
      <xdr:row>43</xdr:row>
      <xdr:rowOff>142875</xdr:rowOff>
    </xdr:to>
    <xdr:sp macro="" textlink="">
      <xdr:nvSpPr>
        <xdr:cNvPr id="315553" name="Rectangle 28"/>
        <xdr:cNvSpPr>
          <a:spLocks noChangeArrowheads="1"/>
        </xdr:cNvSpPr>
      </xdr:nvSpPr>
      <xdr:spPr bwMode="auto">
        <a:xfrm>
          <a:off x="74333100" y="9172575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102</xdr:col>
      <xdr:colOff>0</xdr:colOff>
      <xdr:row>43</xdr:row>
      <xdr:rowOff>0</xdr:rowOff>
    </xdr:from>
    <xdr:to>
      <xdr:col>102</xdr:col>
      <xdr:colOff>19050</xdr:colOff>
      <xdr:row>43</xdr:row>
      <xdr:rowOff>142875</xdr:rowOff>
    </xdr:to>
    <xdr:sp macro="" textlink="">
      <xdr:nvSpPr>
        <xdr:cNvPr id="315554" name="Rectangle 28"/>
        <xdr:cNvSpPr>
          <a:spLocks noChangeArrowheads="1"/>
        </xdr:cNvSpPr>
      </xdr:nvSpPr>
      <xdr:spPr bwMode="auto">
        <a:xfrm>
          <a:off x="74333100" y="9172575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102</xdr:col>
      <xdr:colOff>0</xdr:colOff>
      <xdr:row>43</xdr:row>
      <xdr:rowOff>0</xdr:rowOff>
    </xdr:from>
    <xdr:to>
      <xdr:col>102</xdr:col>
      <xdr:colOff>19050</xdr:colOff>
      <xdr:row>43</xdr:row>
      <xdr:rowOff>142875</xdr:rowOff>
    </xdr:to>
    <xdr:sp macro="" textlink="">
      <xdr:nvSpPr>
        <xdr:cNvPr id="315555" name="Rectangle 28"/>
        <xdr:cNvSpPr>
          <a:spLocks noChangeArrowheads="1"/>
        </xdr:cNvSpPr>
      </xdr:nvSpPr>
      <xdr:spPr bwMode="auto">
        <a:xfrm>
          <a:off x="74333100" y="9172575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102</xdr:col>
      <xdr:colOff>0</xdr:colOff>
      <xdr:row>43</xdr:row>
      <xdr:rowOff>0</xdr:rowOff>
    </xdr:from>
    <xdr:to>
      <xdr:col>102</xdr:col>
      <xdr:colOff>19050</xdr:colOff>
      <xdr:row>43</xdr:row>
      <xdr:rowOff>142875</xdr:rowOff>
    </xdr:to>
    <xdr:sp macro="" textlink="">
      <xdr:nvSpPr>
        <xdr:cNvPr id="315556" name="Rectangle 28"/>
        <xdr:cNvSpPr>
          <a:spLocks noChangeArrowheads="1"/>
        </xdr:cNvSpPr>
      </xdr:nvSpPr>
      <xdr:spPr bwMode="auto">
        <a:xfrm>
          <a:off x="74333100" y="9172575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102</xdr:col>
      <xdr:colOff>0</xdr:colOff>
      <xdr:row>43</xdr:row>
      <xdr:rowOff>0</xdr:rowOff>
    </xdr:from>
    <xdr:to>
      <xdr:col>102</xdr:col>
      <xdr:colOff>19050</xdr:colOff>
      <xdr:row>43</xdr:row>
      <xdr:rowOff>142875</xdr:rowOff>
    </xdr:to>
    <xdr:sp macro="" textlink="">
      <xdr:nvSpPr>
        <xdr:cNvPr id="315557" name="Rectangle 27"/>
        <xdr:cNvSpPr>
          <a:spLocks noChangeArrowheads="1"/>
        </xdr:cNvSpPr>
      </xdr:nvSpPr>
      <xdr:spPr bwMode="auto">
        <a:xfrm>
          <a:off x="74333100" y="9172575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102</xdr:col>
      <xdr:colOff>0</xdr:colOff>
      <xdr:row>43</xdr:row>
      <xdr:rowOff>0</xdr:rowOff>
    </xdr:from>
    <xdr:to>
      <xdr:col>102</xdr:col>
      <xdr:colOff>19050</xdr:colOff>
      <xdr:row>43</xdr:row>
      <xdr:rowOff>142875</xdr:rowOff>
    </xdr:to>
    <xdr:sp macro="" textlink="">
      <xdr:nvSpPr>
        <xdr:cNvPr id="315558" name="Rectangle 27"/>
        <xdr:cNvSpPr>
          <a:spLocks noChangeArrowheads="1"/>
        </xdr:cNvSpPr>
      </xdr:nvSpPr>
      <xdr:spPr bwMode="auto">
        <a:xfrm>
          <a:off x="74333100" y="9172575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102</xdr:col>
      <xdr:colOff>0</xdr:colOff>
      <xdr:row>43</xdr:row>
      <xdr:rowOff>0</xdr:rowOff>
    </xdr:from>
    <xdr:to>
      <xdr:col>102</xdr:col>
      <xdr:colOff>19050</xdr:colOff>
      <xdr:row>43</xdr:row>
      <xdr:rowOff>142875</xdr:rowOff>
    </xdr:to>
    <xdr:sp macro="" textlink="">
      <xdr:nvSpPr>
        <xdr:cNvPr id="315559" name="Rectangle 28"/>
        <xdr:cNvSpPr>
          <a:spLocks noChangeArrowheads="1"/>
        </xdr:cNvSpPr>
      </xdr:nvSpPr>
      <xdr:spPr bwMode="auto">
        <a:xfrm>
          <a:off x="74333100" y="9172575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102</xdr:col>
      <xdr:colOff>0</xdr:colOff>
      <xdr:row>43</xdr:row>
      <xdr:rowOff>0</xdr:rowOff>
    </xdr:from>
    <xdr:to>
      <xdr:col>102</xdr:col>
      <xdr:colOff>19050</xdr:colOff>
      <xdr:row>43</xdr:row>
      <xdr:rowOff>142875</xdr:rowOff>
    </xdr:to>
    <xdr:sp macro="" textlink="">
      <xdr:nvSpPr>
        <xdr:cNvPr id="315560" name="Rectangle 28"/>
        <xdr:cNvSpPr>
          <a:spLocks noChangeArrowheads="1"/>
        </xdr:cNvSpPr>
      </xdr:nvSpPr>
      <xdr:spPr bwMode="auto">
        <a:xfrm>
          <a:off x="74333100" y="9172575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102</xdr:col>
      <xdr:colOff>0</xdr:colOff>
      <xdr:row>43</xdr:row>
      <xdr:rowOff>0</xdr:rowOff>
    </xdr:from>
    <xdr:to>
      <xdr:col>102</xdr:col>
      <xdr:colOff>19050</xdr:colOff>
      <xdr:row>43</xdr:row>
      <xdr:rowOff>142875</xdr:rowOff>
    </xdr:to>
    <xdr:sp macro="" textlink="">
      <xdr:nvSpPr>
        <xdr:cNvPr id="315561" name="Rectangle 28"/>
        <xdr:cNvSpPr>
          <a:spLocks noChangeArrowheads="1"/>
        </xdr:cNvSpPr>
      </xdr:nvSpPr>
      <xdr:spPr bwMode="auto">
        <a:xfrm>
          <a:off x="74333100" y="9172575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102</xdr:col>
      <xdr:colOff>0</xdr:colOff>
      <xdr:row>43</xdr:row>
      <xdr:rowOff>0</xdr:rowOff>
    </xdr:from>
    <xdr:to>
      <xdr:col>102</xdr:col>
      <xdr:colOff>19050</xdr:colOff>
      <xdr:row>43</xdr:row>
      <xdr:rowOff>142875</xdr:rowOff>
    </xdr:to>
    <xdr:sp macro="" textlink="">
      <xdr:nvSpPr>
        <xdr:cNvPr id="315562" name="Rectangle 27"/>
        <xdr:cNvSpPr>
          <a:spLocks noChangeArrowheads="1"/>
        </xdr:cNvSpPr>
      </xdr:nvSpPr>
      <xdr:spPr bwMode="auto">
        <a:xfrm>
          <a:off x="74333100" y="9172575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102</xdr:col>
      <xdr:colOff>0</xdr:colOff>
      <xdr:row>43</xdr:row>
      <xdr:rowOff>0</xdr:rowOff>
    </xdr:from>
    <xdr:to>
      <xdr:col>102</xdr:col>
      <xdr:colOff>19050</xdr:colOff>
      <xdr:row>43</xdr:row>
      <xdr:rowOff>142875</xdr:rowOff>
    </xdr:to>
    <xdr:sp macro="" textlink="">
      <xdr:nvSpPr>
        <xdr:cNvPr id="315563" name="Rectangle 27"/>
        <xdr:cNvSpPr>
          <a:spLocks noChangeArrowheads="1"/>
        </xdr:cNvSpPr>
      </xdr:nvSpPr>
      <xdr:spPr bwMode="auto">
        <a:xfrm>
          <a:off x="74333100" y="9172575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102</xdr:col>
      <xdr:colOff>0</xdr:colOff>
      <xdr:row>43</xdr:row>
      <xdr:rowOff>0</xdr:rowOff>
    </xdr:from>
    <xdr:to>
      <xdr:col>102</xdr:col>
      <xdr:colOff>19050</xdr:colOff>
      <xdr:row>43</xdr:row>
      <xdr:rowOff>142875</xdr:rowOff>
    </xdr:to>
    <xdr:sp macro="" textlink="">
      <xdr:nvSpPr>
        <xdr:cNvPr id="315564" name="Rectangle 28"/>
        <xdr:cNvSpPr>
          <a:spLocks noChangeArrowheads="1"/>
        </xdr:cNvSpPr>
      </xdr:nvSpPr>
      <xdr:spPr bwMode="auto">
        <a:xfrm>
          <a:off x="74333100" y="9172575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102</xdr:col>
      <xdr:colOff>0</xdr:colOff>
      <xdr:row>43</xdr:row>
      <xdr:rowOff>0</xdr:rowOff>
    </xdr:from>
    <xdr:to>
      <xdr:col>102</xdr:col>
      <xdr:colOff>19050</xdr:colOff>
      <xdr:row>43</xdr:row>
      <xdr:rowOff>142875</xdr:rowOff>
    </xdr:to>
    <xdr:sp macro="" textlink="">
      <xdr:nvSpPr>
        <xdr:cNvPr id="315565" name="Rectangle 28"/>
        <xdr:cNvSpPr>
          <a:spLocks noChangeArrowheads="1"/>
        </xdr:cNvSpPr>
      </xdr:nvSpPr>
      <xdr:spPr bwMode="auto">
        <a:xfrm>
          <a:off x="74333100" y="9172575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102</xdr:col>
      <xdr:colOff>0</xdr:colOff>
      <xdr:row>3</xdr:row>
      <xdr:rowOff>0</xdr:rowOff>
    </xdr:from>
    <xdr:to>
      <xdr:col>102</xdr:col>
      <xdr:colOff>190500</xdr:colOff>
      <xdr:row>7</xdr:row>
      <xdr:rowOff>123825</xdr:rowOff>
    </xdr:to>
    <xdr:sp macro="" textlink="">
      <xdr:nvSpPr>
        <xdr:cNvPr id="315566" name="Obdélník 1579"/>
        <xdr:cNvSpPr>
          <a:spLocks noChangeArrowheads="1"/>
        </xdr:cNvSpPr>
      </xdr:nvSpPr>
      <xdr:spPr bwMode="auto">
        <a:xfrm>
          <a:off x="74333100" y="1171575"/>
          <a:ext cx="190500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102</xdr:col>
      <xdr:colOff>0</xdr:colOff>
      <xdr:row>43</xdr:row>
      <xdr:rowOff>0</xdr:rowOff>
    </xdr:from>
    <xdr:to>
      <xdr:col>102</xdr:col>
      <xdr:colOff>19050</xdr:colOff>
      <xdr:row>43</xdr:row>
      <xdr:rowOff>142875</xdr:rowOff>
    </xdr:to>
    <xdr:sp macro="" textlink="">
      <xdr:nvSpPr>
        <xdr:cNvPr id="315567" name="Rectangle 28"/>
        <xdr:cNvSpPr>
          <a:spLocks noChangeArrowheads="1"/>
        </xdr:cNvSpPr>
      </xdr:nvSpPr>
      <xdr:spPr bwMode="auto">
        <a:xfrm>
          <a:off x="74333100" y="9172575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102</xdr:col>
      <xdr:colOff>0</xdr:colOff>
      <xdr:row>43</xdr:row>
      <xdr:rowOff>0</xdr:rowOff>
    </xdr:from>
    <xdr:to>
      <xdr:col>102</xdr:col>
      <xdr:colOff>19050</xdr:colOff>
      <xdr:row>43</xdr:row>
      <xdr:rowOff>142875</xdr:rowOff>
    </xdr:to>
    <xdr:sp macro="" textlink="">
      <xdr:nvSpPr>
        <xdr:cNvPr id="315568" name="Rectangle 28"/>
        <xdr:cNvSpPr>
          <a:spLocks noChangeArrowheads="1"/>
        </xdr:cNvSpPr>
      </xdr:nvSpPr>
      <xdr:spPr bwMode="auto">
        <a:xfrm>
          <a:off x="74333100" y="9172575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102</xdr:col>
      <xdr:colOff>0</xdr:colOff>
      <xdr:row>43</xdr:row>
      <xdr:rowOff>0</xdr:rowOff>
    </xdr:from>
    <xdr:to>
      <xdr:col>102</xdr:col>
      <xdr:colOff>19050</xdr:colOff>
      <xdr:row>43</xdr:row>
      <xdr:rowOff>142875</xdr:rowOff>
    </xdr:to>
    <xdr:sp macro="" textlink="">
      <xdr:nvSpPr>
        <xdr:cNvPr id="315569" name="Rectangle 28"/>
        <xdr:cNvSpPr>
          <a:spLocks noChangeArrowheads="1"/>
        </xdr:cNvSpPr>
      </xdr:nvSpPr>
      <xdr:spPr bwMode="auto">
        <a:xfrm>
          <a:off x="74333100" y="9172575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102</xdr:col>
      <xdr:colOff>0</xdr:colOff>
      <xdr:row>43</xdr:row>
      <xdr:rowOff>0</xdr:rowOff>
    </xdr:from>
    <xdr:to>
      <xdr:col>102</xdr:col>
      <xdr:colOff>19050</xdr:colOff>
      <xdr:row>43</xdr:row>
      <xdr:rowOff>142875</xdr:rowOff>
    </xdr:to>
    <xdr:sp macro="" textlink="">
      <xdr:nvSpPr>
        <xdr:cNvPr id="315570" name="Rectangle 27"/>
        <xdr:cNvSpPr>
          <a:spLocks noChangeArrowheads="1"/>
        </xdr:cNvSpPr>
      </xdr:nvSpPr>
      <xdr:spPr bwMode="auto">
        <a:xfrm>
          <a:off x="74333100" y="9172575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102</xdr:col>
      <xdr:colOff>0</xdr:colOff>
      <xdr:row>43</xdr:row>
      <xdr:rowOff>0</xdr:rowOff>
    </xdr:from>
    <xdr:to>
      <xdr:col>102</xdr:col>
      <xdr:colOff>19050</xdr:colOff>
      <xdr:row>43</xdr:row>
      <xdr:rowOff>142875</xdr:rowOff>
    </xdr:to>
    <xdr:sp macro="" textlink="">
      <xdr:nvSpPr>
        <xdr:cNvPr id="315571" name="Rectangle 28"/>
        <xdr:cNvSpPr>
          <a:spLocks noChangeArrowheads="1"/>
        </xdr:cNvSpPr>
      </xdr:nvSpPr>
      <xdr:spPr bwMode="auto">
        <a:xfrm>
          <a:off x="74333100" y="9172575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102</xdr:col>
      <xdr:colOff>0</xdr:colOff>
      <xdr:row>43</xdr:row>
      <xdr:rowOff>0</xdr:rowOff>
    </xdr:from>
    <xdr:to>
      <xdr:col>102</xdr:col>
      <xdr:colOff>19050</xdr:colOff>
      <xdr:row>43</xdr:row>
      <xdr:rowOff>142875</xdr:rowOff>
    </xdr:to>
    <xdr:sp macro="" textlink="">
      <xdr:nvSpPr>
        <xdr:cNvPr id="315572" name="Rectangle 27"/>
        <xdr:cNvSpPr>
          <a:spLocks noChangeArrowheads="1"/>
        </xdr:cNvSpPr>
      </xdr:nvSpPr>
      <xdr:spPr bwMode="auto">
        <a:xfrm>
          <a:off x="74333100" y="9172575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102</xdr:col>
      <xdr:colOff>0</xdr:colOff>
      <xdr:row>43</xdr:row>
      <xdr:rowOff>0</xdr:rowOff>
    </xdr:from>
    <xdr:to>
      <xdr:col>102</xdr:col>
      <xdr:colOff>19050</xdr:colOff>
      <xdr:row>43</xdr:row>
      <xdr:rowOff>142875</xdr:rowOff>
    </xdr:to>
    <xdr:sp macro="" textlink="">
      <xdr:nvSpPr>
        <xdr:cNvPr id="315573" name="Rectangle 28"/>
        <xdr:cNvSpPr>
          <a:spLocks noChangeArrowheads="1"/>
        </xdr:cNvSpPr>
      </xdr:nvSpPr>
      <xdr:spPr bwMode="auto">
        <a:xfrm>
          <a:off x="74333100" y="9172575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102</xdr:col>
      <xdr:colOff>0</xdr:colOff>
      <xdr:row>43</xdr:row>
      <xdr:rowOff>0</xdr:rowOff>
    </xdr:from>
    <xdr:to>
      <xdr:col>102</xdr:col>
      <xdr:colOff>19050</xdr:colOff>
      <xdr:row>43</xdr:row>
      <xdr:rowOff>142875</xdr:rowOff>
    </xdr:to>
    <xdr:sp macro="" textlink="">
      <xdr:nvSpPr>
        <xdr:cNvPr id="315574" name="Rectangle 28"/>
        <xdr:cNvSpPr>
          <a:spLocks noChangeArrowheads="1"/>
        </xdr:cNvSpPr>
      </xdr:nvSpPr>
      <xdr:spPr bwMode="auto">
        <a:xfrm>
          <a:off x="74333100" y="9172575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102</xdr:col>
      <xdr:colOff>0</xdr:colOff>
      <xdr:row>43</xdr:row>
      <xdr:rowOff>0</xdr:rowOff>
    </xdr:from>
    <xdr:to>
      <xdr:col>102</xdr:col>
      <xdr:colOff>19050</xdr:colOff>
      <xdr:row>43</xdr:row>
      <xdr:rowOff>142875</xdr:rowOff>
    </xdr:to>
    <xdr:sp macro="" textlink="">
      <xdr:nvSpPr>
        <xdr:cNvPr id="315575" name="Rectangle 28"/>
        <xdr:cNvSpPr>
          <a:spLocks noChangeArrowheads="1"/>
        </xdr:cNvSpPr>
      </xdr:nvSpPr>
      <xdr:spPr bwMode="auto">
        <a:xfrm>
          <a:off x="74333100" y="9172575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102</xdr:col>
      <xdr:colOff>0</xdr:colOff>
      <xdr:row>43</xdr:row>
      <xdr:rowOff>0</xdr:rowOff>
    </xdr:from>
    <xdr:to>
      <xdr:col>102</xdr:col>
      <xdr:colOff>19050</xdr:colOff>
      <xdr:row>43</xdr:row>
      <xdr:rowOff>142875</xdr:rowOff>
    </xdr:to>
    <xdr:sp macro="" textlink="">
      <xdr:nvSpPr>
        <xdr:cNvPr id="315576" name="Rectangle 28"/>
        <xdr:cNvSpPr>
          <a:spLocks noChangeArrowheads="1"/>
        </xdr:cNvSpPr>
      </xdr:nvSpPr>
      <xdr:spPr bwMode="auto">
        <a:xfrm>
          <a:off x="74333100" y="9172575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102</xdr:col>
      <xdr:colOff>0</xdr:colOff>
      <xdr:row>43</xdr:row>
      <xdr:rowOff>0</xdr:rowOff>
    </xdr:from>
    <xdr:to>
      <xdr:col>102</xdr:col>
      <xdr:colOff>19050</xdr:colOff>
      <xdr:row>43</xdr:row>
      <xdr:rowOff>142875</xdr:rowOff>
    </xdr:to>
    <xdr:sp macro="" textlink="">
      <xdr:nvSpPr>
        <xdr:cNvPr id="315577" name="Rectangle 27"/>
        <xdr:cNvSpPr>
          <a:spLocks noChangeArrowheads="1"/>
        </xdr:cNvSpPr>
      </xdr:nvSpPr>
      <xdr:spPr bwMode="auto">
        <a:xfrm>
          <a:off x="74333100" y="9172575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102</xdr:col>
      <xdr:colOff>0</xdr:colOff>
      <xdr:row>43</xdr:row>
      <xdr:rowOff>0</xdr:rowOff>
    </xdr:from>
    <xdr:to>
      <xdr:col>102</xdr:col>
      <xdr:colOff>19050</xdr:colOff>
      <xdr:row>43</xdr:row>
      <xdr:rowOff>142875</xdr:rowOff>
    </xdr:to>
    <xdr:sp macro="" textlink="">
      <xdr:nvSpPr>
        <xdr:cNvPr id="315578" name="Rectangle 27"/>
        <xdr:cNvSpPr>
          <a:spLocks noChangeArrowheads="1"/>
        </xdr:cNvSpPr>
      </xdr:nvSpPr>
      <xdr:spPr bwMode="auto">
        <a:xfrm>
          <a:off x="74333100" y="9172575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102</xdr:col>
      <xdr:colOff>0</xdr:colOff>
      <xdr:row>43</xdr:row>
      <xdr:rowOff>0</xdr:rowOff>
    </xdr:from>
    <xdr:to>
      <xdr:col>102</xdr:col>
      <xdr:colOff>19050</xdr:colOff>
      <xdr:row>43</xdr:row>
      <xdr:rowOff>142875</xdr:rowOff>
    </xdr:to>
    <xdr:sp macro="" textlink="">
      <xdr:nvSpPr>
        <xdr:cNvPr id="315579" name="Rectangle 28"/>
        <xdr:cNvSpPr>
          <a:spLocks noChangeArrowheads="1"/>
        </xdr:cNvSpPr>
      </xdr:nvSpPr>
      <xdr:spPr bwMode="auto">
        <a:xfrm>
          <a:off x="74333100" y="9172575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102</xdr:col>
      <xdr:colOff>0</xdr:colOff>
      <xdr:row>43</xdr:row>
      <xdr:rowOff>0</xdr:rowOff>
    </xdr:from>
    <xdr:to>
      <xdr:col>102</xdr:col>
      <xdr:colOff>19050</xdr:colOff>
      <xdr:row>43</xdr:row>
      <xdr:rowOff>142875</xdr:rowOff>
    </xdr:to>
    <xdr:sp macro="" textlink="">
      <xdr:nvSpPr>
        <xdr:cNvPr id="315580" name="Rectangle 28"/>
        <xdr:cNvSpPr>
          <a:spLocks noChangeArrowheads="1"/>
        </xdr:cNvSpPr>
      </xdr:nvSpPr>
      <xdr:spPr bwMode="auto">
        <a:xfrm>
          <a:off x="74333100" y="9172575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102</xdr:col>
      <xdr:colOff>0</xdr:colOff>
      <xdr:row>43</xdr:row>
      <xdr:rowOff>0</xdr:rowOff>
    </xdr:from>
    <xdr:to>
      <xdr:col>102</xdr:col>
      <xdr:colOff>19050</xdr:colOff>
      <xdr:row>43</xdr:row>
      <xdr:rowOff>142875</xdr:rowOff>
    </xdr:to>
    <xdr:sp macro="" textlink="">
      <xdr:nvSpPr>
        <xdr:cNvPr id="315581" name="Rectangle 28"/>
        <xdr:cNvSpPr>
          <a:spLocks noChangeArrowheads="1"/>
        </xdr:cNvSpPr>
      </xdr:nvSpPr>
      <xdr:spPr bwMode="auto">
        <a:xfrm>
          <a:off x="74333100" y="9172575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102</xdr:col>
      <xdr:colOff>0</xdr:colOff>
      <xdr:row>43</xdr:row>
      <xdr:rowOff>0</xdr:rowOff>
    </xdr:from>
    <xdr:to>
      <xdr:col>102</xdr:col>
      <xdr:colOff>19050</xdr:colOff>
      <xdr:row>43</xdr:row>
      <xdr:rowOff>142875</xdr:rowOff>
    </xdr:to>
    <xdr:sp macro="" textlink="">
      <xdr:nvSpPr>
        <xdr:cNvPr id="315582" name="Rectangle 27"/>
        <xdr:cNvSpPr>
          <a:spLocks noChangeArrowheads="1"/>
        </xdr:cNvSpPr>
      </xdr:nvSpPr>
      <xdr:spPr bwMode="auto">
        <a:xfrm>
          <a:off x="74333100" y="9172575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102</xdr:col>
      <xdr:colOff>0</xdr:colOff>
      <xdr:row>43</xdr:row>
      <xdr:rowOff>0</xdr:rowOff>
    </xdr:from>
    <xdr:to>
      <xdr:col>102</xdr:col>
      <xdr:colOff>19050</xdr:colOff>
      <xdr:row>43</xdr:row>
      <xdr:rowOff>142875</xdr:rowOff>
    </xdr:to>
    <xdr:sp macro="" textlink="">
      <xdr:nvSpPr>
        <xdr:cNvPr id="315583" name="Rectangle 27"/>
        <xdr:cNvSpPr>
          <a:spLocks noChangeArrowheads="1"/>
        </xdr:cNvSpPr>
      </xdr:nvSpPr>
      <xdr:spPr bwMode="auto">
        <a:xfrm>
          <a:off x="74333100" y="9172575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102</xdr:col>
      <xdr:colOff>0</xdr:colOff>
      <xdr:row>43</xdr:row>
      <xdr:rowOff>0</xdr:rowOff>
    </xdr:from>
    <xdr:to>
      <xdr:col>102</xdr:col>
      <xdr:colOff>19050</xdr:colOff>
      <xdr:row>43</xdr:row>
      <xdr:rowOff>142875</xdr:rowOff>
    </xdr:to>
    <xdr:sp macro="" textlink="">
      <xdr:nvSpPr>
        <xdr:cNvPr id="315584" name="Rectangle 28"/>
        <xdr:cNvSpPr>
          <a:spLocks noChangeArrowheads="1"/>
        </xdr:cNvSpPr>
      </xdr:nvSpPr>
      <xdr:spPr bwMode="auto">
        <a:xfrm>
          <a:off x="74333100" y="9172575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102</xdr:col>
      <xdr:colOff>0</xdr:colOff>
      <xdr:row>43</xdr:row>
      <xdr:rowOff>0</xdr:rowOff>
    </xdr:from>
    <xdr:to>
      <xdr:col>102</xdr:col>
      <xdr:colOff>19050</xdr:colOff>
      <xdr:row>43</xdr:row>
      <xdr:rowOff>142875</xdr:rowOff>
    </xdr:to>
    <xdr:sp macro="" textlink="">
      <xdr:nvSpPr>
        <xdr:cNvPr id="315585" name="Rectangle 28"/>
        <xdr:cNvSpPr>
          <a:spLocks noChangeArrowheads="1"/>
        </xdr:cNvSpPr>
      </xdr:nvSpPr>
      <xdr:spPr bwMode="auto">
        <a:xfrm>
          <a:off x="74333100" y="9172575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102</xdr:col>
      <xdr:colOff>0</xdr:colOff>
      <xdr:row>43</xdr:row>
      <xdr:rowOff>0</xdr:rowOff>
    </xdr:from>
    <xdr:to>
      <xdr:col>102</xdr:col>
      <xdr:colOff>19050</xdr:colOff>
      <xdr:row>43</xdr:row>
      <xdr:rowOff>142875</xdr:rowOff>
    </xdr:to>
    <xdr:sp macro="" textlink="">
      <xdr:nvSpPr>
        <xdr:cNvPr id="315586" name="Rectangle 28"/>
        <xdr:cNvSpPr>
          <a:spLocks noChangeArrowheads="1"/>
        </xdr:cNvSpPr>
      </xdr:nvSpPr>
      <xdr:spPr bwMode="auto">
        <a:xfrm>
          <a:off x="74333100" y="9172575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102</xdr:col>
      <xdr:colOff>0</xdr:colOff>
      <xdr:row>43</xdr:row>
      <xdr:rowOff>0</xdr:rowOff>
    </xdr:from>
    <xdr:to>
      <xdr:col>102</xdr:col>
      <xdr:colOff>19050</xdr:colOff>
      <xdr:row>43</xdr:row>
      <xdr:rowOff>142875</xdr:rowOff>
    </xdr:to>
    <xdr:sp macro="" textlink="">
      <xdr:nvSpPr>
        <xdr:cNvPr id="315587" name="Rectangle 28"/>
        <xdr:cNvSpPr>
          <a:spLocks noChangeArrowheads="1"/>
        </xdr:cNvSpPr>
      </xdr:nvSpPr>
      <xdr:spPr bwMode="auto">
        <a:xfrm>
          <a:off x="74333100" y="9172575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102</xdr:col>
      <xdr:colOff>0</xdr:colOff>
      <xdr:row>43</xdr:row>
      <xdr:rowOff>0</xdr:rowOff>
    </xdr:from>
    <xdr:to>
      <xdr:col>102</xdr:col>
      <xdr:colOff>19050</xdr:colOff>
      <xdr:row>43</xdr:row>
      <xdr:rowOff>142875</xdr:rowOff>
    </xdr:to>
    <xdr:sp macro="" textlink="">
      <xdr:nvSpPr>
        <xdr:cNvPr id="315588" name="Rectangle 28"/>
        <xdr:cNvSpPr>
          <a:spLocks noChangeArrowheads="1"/>
        </xdr:cNvSpPr>
      </xdr:nvSpPr>
      <xdr:spPr bwMode="auto">
        <a:xfrm>
          <a:off x="74333100" y="9172575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102</xdr:col>
      <xdr:colOff>0</xdr:colOff>
      <xdr:row>43</xdr:row>
      <xdr:rowOff>0</xdr:rowOff>
    </xdr:from>
    <xdr:to>
      <xdr:col>102</xdr:col>
      <xdr:colOff>19050</xdr:colOff>
      <xdr:row>43</xdr:row>
      <xdr:rowOff>142875</xdr:rowOff>
    </xdr:to>
    <xdr:sp macro="" textlink="">
      <xdr:nvSpPr>
        <xdr:cNvPr id="315589" name="Rectangle 27"/>
        <xdr:cNvSpPr>
          <a:spLocks noChangeArrowheads="1"/>
        </xdr:cNvSpPr>
      </xdr:nvSpPr>
      <xdr:spPr bwMode="auto">
        <a:xfrm>
          <a:off x="74333100" y="9172575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102</xdr:col>
      <xdr:colOff>0</xdr:colOff>
      <xdr:row>43</xdr:row>
      <xdr:rowOff>0</xdr:rowOff>
    </xdr:from>
    <xdr:to>
      <xdr:col>102</xdr:col>
      <xdr:colOff>19050</xdr:colOff>
      <xdr:row>43</xdr:row>
      <xdr:rowOff>142875</xdr:rowOff>
    </xdr:to>
    <xdr:sp macro="" textlink="">
      <xdr:nvSpPr>
        <xdr:cNvPr id="315590" name="Rectangle 28"/>
        <xdr:cNvSpPr>
          <a:spLocks noChangeArrowheads="1"/>
        </xdr:cNvSpPr>
      </xdr:nvSpPr>
      <xdr:spPr bwMode="auto">
        <a:xfrm>
          <a:off x="74333100" y="9172575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102</xdr:col>
      <xdr:colOff>0</xdr:colOff>
      <xdr:row>43</xdr:row>
      <xdr:rowOff>0</xdr:rowOff>
    </xdr:from>
    <xdr:to>
      <xdr:col>102</xdr:col>
      <xdr:colOff>19050</xdr:colOff>
      <xdr:row>43</xdr:row>
      <xdr:rowOff>142875</xdr:rowOff>
    </xdr:to>
    <xdr:sp macro="" textlink="">
      <xdr:nvSpPr>
        <xdr:cNvPr id="315591" name="Rectangle 27"/>
        <xdr:cNvSpPr>
          <a:spLocks noChangeArrowheads="1"/>
        </xdr:cNvSpPr>
      </xdr:nvSpPr>
      <xdr:spPr bwMode="auto">
        <a:xfrm>
          <a:off x="74333100" y="9172575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102</xdr:col>
      <xdr:colOff>0</xdr:colOff>
      <xdr:row>43</xdr:row>
      <xdr:rowOff>0</xdr:rowOff>
    </xdr:from>
    <xdr:to>
      <xdr:col>102</xdr:col>
      <xdr:colOff>19050</xdr:colOff>
      <xdr:row>43</xdr:row>
      <xdr:rowOff>142875</xdr:rowOff>
    </xdr:to>
    <xdr:sp macro="" textlink="">
      <xdr:nvSpPr>
        <xdr:cNvPr id="315592" name="Rectangle 28"/>
        <xdr:cNvSpPr>
          <a:spLocks noChangeArrowheads="1"/>
        </xdr:cNvSpPr>
      </xdr:nvSpPr>
      <xdr:spPr bwMode="auto">
        <a:xfrm>
          <a:off x="74333100" y="9172575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102</xdr:col>
      <xdr:colOff>0</xdr:colOff>
      <xdr:row>43</xdr:row>
      <xdr:rowOff>0</xdr:rowOff>
    </xdr:from>
    <xdr:to>
      <xdr:col>102</xdr:col>
      <xdr:colOff>19050</xdr:colOff>
      <xdr:row>43</xdr:row>
      <xdr:rowOff>142875</xdr:rowOff>
    </xdr:to>
    <xdr:sp macro="" textlink="">
      <xdr:nvSpPr>
        <xdr:cNvPr id="315593" name="Rectangle 28"/>
        <xdr:cNvSpPr>
          <a:spLocks noChangeArrowheads="1"/>
        </xdr:cNvSpPr>
      </xdr:nvSpPr>
      <xdr:spPr bwMode="auto">
        <a:xfrm>
          <a:off x="74333100" y="9172575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102</xdr:col>
      <xdr:colOff>0</xdr:colOff>
      <xdr:row>43</xdr:row>
      <xdr:rowOff>0</xdr:rowOff>
    </xdr:from>
    <xdr:to>
      <xdr:col>102</xdr:col>
      <xdr:colOff>19050</xdr:colOff>
      <xdr:row>43</xdr:row>
      <xdr:rowOff>142875</xdr:rowOff>
    </xdr:to>
    <xdr:sp macro="" textlink="">
      <xdr:nvSpPr>
        <xdr:cNvPr id="315594" name="Rectangle 28"/>
        <xdr:cNvSpPr>
          <a:spLocks noChangeArrowheads="1"/>
        </xdr:cNvSpPr>
      </xdr:nvSpPr>
      <xdr:spPr bwMode="auto">
        <a:xfrm>
          <a:off x="74333100" y="9172575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102</xdr:col>
      <xdr:colOff>0</xdr:colOff>
      <xdr:row>43</xdr:row>
      <xdr:rowOff>0</xdr:rowOff>
    </xdr:from>
    <xdr:to>
      <xdr:col>102</xdr:col>
      <xdr:colOff>19050</xdr:colOff>
      <xdr:row>43</xdr:row>
      <xdr:rowOff>142875</xdr:rowOff>
    </xdr:to>
    <xdr:sp macro="" textlink="">
      <xdr:nvSpPr>
        <xdr:cNvPr id="315595" name="Rectangle 28"/>
        <xdr:cNvSpPr>
          <a:spLocks noChangeArrowheads="1"/>
        </xdr:cNvSpPr>
      </xdr:nvSpPr>
      <xdr:spPr bwMode="auto">
        <a:xfrm>
          <a:off x="74333100" y="9172575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102</xdr:col>
      <xdr:colOff>0</xdr:colOff>
      <xdr:row>43</xdr:row>
      <xdr:rowOff>0</xdr:rowOff>
    </xdr:from>
    <xdr:to>
      <xdr:col>102</xdr:col>
      <xdr:colOff>19050</xdr:colOff>
      <xdr:row>43</xdr:row>
      <xdr:rowOff>142875</xdr:rowOff>
    </xdr:to>
    <xdr:sp macro="" textlink="">
      <xdr:nvSpPr>
        <xdr:cNvPr id="315596" name="Rectangle 27"/>
        <xdr:cNvSpPr>
          <a:spLocks noChangeArrowheads="1"/>
        </xdr:cNvSpPr>
      </xdr:nvSpPr>
      <xdr:spPr bwMode="auto">
        <a:xfrm>
          <a:off x="74333100" y="9172575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102</xdr:col>
      <xdr:colOff>0</xdr:colOff>
      <xdr:row>43</xdr:row>
      <xdr:rowOff>0</xdr:rowOff>
    </xdr:from>
    <xdr:to>
      <xdr:col>102</xdr:col>
      <xdr:colOff>19050</xdr:colOff>
      <xdr:row>43</xdr:row>
      <xdr:rowOff>142875</xdr:rowOff>
    </xdr:to>
    <xdr:sp macro="" textlink="">
      <xdr:nvSpPr>
        <xdr:cNvPr id="315597" name="Rectangle 27"/>
        <xdr:cNvSpPr>
          <a:spLocks noChangeArrowheads="1"/>
        </xdr:cNvSpPr>
      </xdr:nvSpPr>
      <xdr:spPr bwMode="auto">
        <a:xfrm>
          <a:off x="74333100" y="9172575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102</xdr:col>
      <xdr:colOff>0</xdr:colOff>
      <xdr:row>43</xdr:row>
      <xdr:rowOff>0</xdr:rowOff>
    </xdr:from>
    <xdr:to>
      <xdr:col>102</xdr:col>
      <xdr:colOff>19050</xdr:colOff>
      <xdr:row>43</xdr:row>
      <xdr:rowOff>142875</xdr:rowOff>
    </xdr:to>
    <xdr:sp macro="" textlink="">
      <xdr:nvSpPr>
        <xdr:cNvPr id="315598" name="Rectangle 28"/>
        <xdr:cNvSpPr>
          <a:spLocks noChangeArrowheads="1"/>
        </xdr:cNvSpPr>
      </xdr:nvSpPr>
      <xdr:spPr bwMode="auto">
        <a:xfrm>
          <a:off x="74333100" y="9172575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102</xdr:col>
      <xdr:colOff>0</xdr:colOff>
      <xdr:row>43</xdr:row>
      <xdr:rowOff>0</xdr:rowOff>
    </xdr:from>
    <xdr:to>
      <xdr:col>102</xdr:col>
      <xdr:colOff>19050</xdr:colOff>
      <xdr:row>43</xdr:row>
      <xdr:rowOff>142875</xdr:rowOff>
    </xdr:to>
    <xdr:sp macro="" textlink="">
      <xdr:nvSpPr>
        <xdr:cNvPr id="315599" name="Rectangle 28"/>
        <xdr:cNvSpPr>
          <a:spLocks noChangeArrowheads="1"/>
        </xdr:cNvSpPr>
      </xdr:nvSpPr>
      <xdr:spPr bwMode="auto">
        <a:xfrm>
          <a:off x="74333100" y="9172575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102</xdr:col>
      <xdr:colOff>0</xdr:colOff>
      <xdr:row>43</xdr:row>
      <xdr:rowOff>0</xdr:rowOff>
    </xdr:from>
    <xdr:to>
      <xdr:col>102</xdr:col>
      <xdr:colOff>19050</xdr:colOff>
      <xdr:row>43</xdr:row>
      <xdr:rowOff>142875</xdr:rowOff>
    </xdr:to>
    <xdr:sp macro="" textlink="">
      <xdr:nvSpPr>
        <xdr:cNvPr id="315600" name="Rectangle 28"/>
        <xdr:cNvSpPr>
          <a:spLocks noChangeArrowheads="1"/>
        </xdr:cNvSpPr>
      </xdr:nvSpPr>
      <xdr:spPr bwMode="auto">
        <a:xfrm>
          <a:off x="74333100" y="9172575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102</xdr:col>
      <xdr:colOff>0</xdr:colOff>
      <xdr:row>43</xdr:row>
      <xdr:rowOff>0</xdr:rowOff>
    </xdr:from>
    <xdr:to>
      <xdr:col>102</xdr:col>
      <xdr:colOff>19050</xdr:colOff>
      <xdr:row>43</xdr:row>
      <xdr:rowOff>142875</xdr:rowOff>
    </xdr:to>
    <xdr:sp macro="" textlink="">
      <xdr:nvSpPr>
        <xdr:cNvPr id="315601" name="Rectangle 27"/>
        <xdr:cNvSpPr>
          <a:spLocks noChangeArrowheads="1"/>
        </xdr:cNvSpPr>
      </xdr:nvSpPr>
      <xdr:spPr bwMode="auto">
        <a:xfrm>
          <a:off x="74333100" y="9172575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102</xdr:col>
      <xdr:colOff>0</xdr:colOff>
      <xdr:row>43</xdr:row>
      <xdr:rowOff>0</xdr:rowOff>
    </xdr:from>
    <xdr:to>
      <xdr:col>102</xdr:col>
      <xdr:colOff>19050</xdr:colOff>
      <xdr:row>43</xdr:row>
      <xdr:rowOff>142875</xdr:rowOff>
    </xdr:to>
    <xdr:sp macro="" textlink="">
      <xdr:nvSpPr>
        <xdr:cNvPr id="315602" name="Rectangle 27"/>
        <xdr:cNvSpPr>
          <a:spLocks noChangeArrowheads="1"/>
        </xdr:cNvSpPr>
      </xdr:nvSpPr>
      <xdr:spPr bwMode="auto">
        <a:xfrm>
          <a:off x="74333100" y="9172575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102</xdr:col>
      <xdr:colOff>0</xdr:colOff>
      <xdr:row>43</xdr:row>
      <xdr:rowOff>0</xdr:rowOff>
    </xdr:from>
    <xdr:to>
      <xdr:col>102</xdr:col>
      <xdr:colOff>19050</xdr:colOff>
      <xdr:row>43</xdr:row>
      <xdr:rowOff>142875</xdr:rowOff>
    </xdr:to>
    <xdr:sp macro="" textlink="">
      <xdr:nvSpPr>
        <xdr:cNvPr id="315603" name="Rectangle 28"/>
        <xdr:cNvSpPr>
          <a:spLocks noChangeArrowheads="1"/>
        </xdr:cNvSpPr>
      </xdr:nvSpPr>
      <xdr:spPr bwMode="auto">
        <a:xfrm>
          <a:off x="74333100" y="9172575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102</xdr:col>
      <xdr:colOff>0</xdr:colOff>
      <xdr:row>43</xdr:row>
      <xdr:rowOff>0</xdr:rowOff>
    </xdr:from>
    <xdr:to>
      <xdr:col>102</xdr:col>
      <xdr:colOff>19050</xdr:colOff>
      <xdr:row>43</xdr:row>
      <xdr:rowOff>142875</xdr:rowOff>
    </xdr:to>
    <xdr:sp macro="" textlink="">
      <xdr:nvSpPr>
        <xdr:cNvPr id="315604" name="Rectangle 28"/>
        <xdr:cNvSpPr>
          <a:spLocks noChangeArrowheads="1"/>
        </xdr:cNvSpPr>
      </xdr:nvSpPr>
      <xdr:spPr bwMode="auto">
        <a:xfrm>
          <a:off x="74333100" y="9172575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102</xdr:col>
      <xdr:colOff>0</xdr:colOff>
      <xdr:row>43</xdr:row>
      <xdr:rowOff>0</xdr:rowOff>
    </xdr:from>
    <xdr:to>
      <xdr:col>102</xdr:col>
      <xdr:colOff>19050</xdr:colOff>
      <xdr:row>43</xdr:row>
      <xdr:rowOff>142875</xdr:rowOff>
    </xdr:to>
    <xdr:sp macro="" textlink="">
      <xdr:nvSpPr>
        <xdr:cNvPr id="315605" name="Rectangle 27"/>
        <xdr:cNvSpPr>
          <a:spLocks noChangeArrowheads="1"/>
        </xdr:cNvSpPr>
      </xdr:nvSpPr>
      <xdr:spPr bwMode="auto">
        <a:xfrm>
          <a:off x="74333100" y="9172575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102</xdr:col>
      <xdr:colOff>0</xdr:colOff>
      <xdr:row>43</xdr:row>
      <xdr:rowOff>0</xdr:rowOff>
    </xdr:from>
    <xdr:to>
      <xdr:col>102</xdr:col>
      <xdr:colOff>19050</xdr:colOff>
      <xdr:row>43</xdr:row>
      <xdr:rowOff>142875</xdr:rowOff>
    </xdr:to>
    <xdr:sp macro="" textlink="">
      <xdr:nvSpPr>
        <xdr:cNvPr id="315606" name="Rectangle 28"/>
        <xdr:cNvSpPr>
          <a:spLocks noChangeArrowheads="1"/>
        </xdr:cNvSpPr>
      </xdr:nvSpPr>
      <xdr:spPr bwMode="auto">
        <a:xfrm>
          <a:off x="74333100" y="9172575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102</xdr:col>
      <xdr:colOff>0</xdr:colOff>
      <xdr:row>43</xdr:row>
      <xdr:rowOff>0</xdr:rowOff>
    </xdr:from>
    <xdr:to>
      <xdr:col>102</xdr:col>
      <xdr:colOff>19050</xdr:colOff>
      <xdr:row>43</xdr:row>
      <xdr:rowOff>142875</xdr:rowOff>
    </xdr:to>
    <xdr:sp macro="" textlink="">
      <xdr:nvSpPr>
        <xdr:cNvPr id="315607" name="Rectangle 27"/>
        <xdr:cNvSpPr>
          <a:spLocks noChangeArrowheads="1"/>
        </xdr:cNvSpPr>
      </xdr:nvSpPr>
      <xdr:spPr bwMode="auto">
        <a:xfrm>
          <a:off x="74333100" y="9172575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102</xdr:col>
      <xdr:colOff>0</xdr:colOff>
      <xdr:row>43</xdr:row>
      <xdr:rowOff>0</xdr:rowOff>
    </xdr:from>
    <xdr:to>
      <xdr:col>102</xdr:col>
      <xdr:colOff>19050</xdr:colOff>
      <xdr:row>43</xdr:row>
      <xdr:rowOff>142875</xdr:rowOff>
    </xdr:to>
    <xdr:sp macro="" textlink="">
      <xdr:nvSpPr>
        <xdr:cNvPr id="315608" name="Rectangle 28"/>
        <xdr:cNvSpPr>
          <a:spLocks noChangeArrowheads="1"/>
        </xdr:cNvSpPr>
      </xdr:nvSpPr>
      <xdr:spPr bwMode="auto">
        <a:xfrm>
          <a:off x="74333100" y="9172575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102</xdr:col>
      <xdr:colOff>0</xdr:colOff>
      <xdr:row>43</xdr:row>
      <xdr:rowOff>0</xdr:rowOff>
    </xdr:from>
    <xdr:to>
      <xdr:col>102</xdr:col>
      <xdr:colOff>19050</xdr:colOff>
      <xdr:row>43</xdr:row>
      <xdr:rowOff>142875</xdr:rowOff>
    </xdr:to>
    <xdr:sp macro="" textlink="">
      <xdr:nvSpPr>
        <xdr:cNvPr id="315609" name="Rectangle 28"/>
        <xdr:cNvSpPr>
          <a:spLocks noChangeArrowheads="1"/>
        </xdr:cNvSpPr>
      </xdr:nvSpPr>
      <xdr:spPr bwMode="auto">
        <a:xfrm>
          <a:off x="74333100" y="9172575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102</xdr:col>
      <xdr:colOff>0</xdr:colOff>
      <xdr:row>43</xdr:row>
      <xdr:rowOff>0</xdr:rowOff>
    </xdr:from>
    <xdr:to>
      <xdr:col>102</xdr:col>
      <xdr:colOff>19050</xdr:colOff>
      <xdr:row>43</xdr:row>
      <xdr:rowOff>142875</xdr:rowOff>
    </xdr:to>
    <xdr:sp macro="" textlink="">
      <xdr:nvSpPr>
        <xdr:cNvPr id="315610" name="Rectangle 27"/>
        <xdr:cNvSpPr>
          <a:spLocks noChangeArrowheads="1"/>
        </xdr:cNvSpPr>
      </xdr:nvSpPr>
      <xdr:spPr bwMode="auto">
        <a:xfrm>
          <a:off x="74333100" y="9172575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102</xdr:col>
      <xdr:colOff>0</xdr:colOff>
      <xdr:row>43</xdr:row>
      <xdr:rowOff>0</xdr:rowOff>
    </xdr:from>
    <xdr:to>
      <xdr:col>102</xdr:col>
      <xdr:colOff>19050</xdr:colOff>
      <xdr:row>43</xdr:row>
      <xdr:rowOff>142875</xdr:rowOff>
    </xdr:to>
    <xdr:sp macro="" textlink="">
      <xdr:nvSpPr>
        <xdr:cNvPr id="315611" name="Rectangle 28"/>
        <xdr:cNvSpPr>
          <a:spLocks noChangeArrowheads="1"/>
        </xdr:cNvSpPr>
      </xdr:nvSpPr>
      <xdr:spPr bwMode="auto">
        <a:xfrm>
          <a:off x="74333100" y="9172575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102</xdr:col>
      <xdr:colOff>0</xdr:colOff>
      <xdr:row>43</xdr:row>
      <xdr:rowOff>0</xdr:rowOff>
    </xdr:from>
    <xdr:to>
      <xdr:col>102</xdr:col>
      <xdr:colOff>19050</xdr:colOff>
      <xdr:row>43</xdr:row>
      <xdr:rowOff>142875</xdr:rowOff>
    </xdr:to>
    <xdr:sp macro="" textlink="">
      <xdr:nvSpPr>
        <xdr:cNvPr id="315612" name="Rectangle 28"/>
        <xdr:cNvSpPr>
          <a:spLocks noChangeArrowheads="1"/>
        </xdr:cNvSpPr>
      </xdr:nvSpPr>
      <xdr:spPr bwMode="auto">
        <a:xfrm>
          <a:off x="74333100" y="9172575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102</xdr:col>
      <xdr:colOff>0</xdr:colOff>
      <xdr:row>43</xdr:row>
      <xdr:rowOff>0</xdr:rowOff>
    </xdr:from>
    <xdr:to>
      <xdr:col>102</xdr:col>
      <xdr:colOff>19050</xdr:colOff>
      <xdr:row>43</xdr:row>
      <xdr:rowOff>142875</xdr:rowOff>
    </xdr:to>
    <xdr:sp macro="" textlink="">
      <xdr:nvSpPr>
        <xdr:cNvPr id="315613" name="Rectangle 28"/>
        <xdr:cNvSpPr>
          <a:spLocks noChangeArrowheads="1"/>
        </xdr:cNvSpPr>
      </xdr:nvSpPr>
      <xdr:spPr bwMode="auto">
        <a:xfrm>
          <a:off x="74333100" y="9172575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102</xdr:col>
      <xdr:colOff>0</xdr:colOff>
      <xdr:row>43</xdr:row>
      <xdr:rowOff>0</xdr:rowOff>
    </xdr:from>
    <xdr:to>
      <xdr:col>102</xdr:col>
      <xdr:colOff>19050</xdr:colOff>
      <xdr:row>43</xdr:row>
      <xdr:rowOff>142875</xdr:rowOff>
    </xdr:to>
    <xdr:sp macro="" textlink="">
      <xdr:nvSpPr>
        <xdr:cNvPr id="315614" name="Rectangle 28"/>
        <xdr:cNvSpPr>
          <a:spLocks noChangeArrowheads="1"/>
        </xdr:cNvSpPr>
      </xdr:nvSpPr>
      <xdr:spPr bwMode="auto">
        <a:xfrm>
          <a:off x="74333100" y="9172575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102</xdr:col>
      <xdr:colOff>0</xdr:colOff>
      <xdr:row>43</xdr:row>
      <xdr:rowOff>0</xdr:rowOff>
    </xdr:from>
    <xdr:to>
      <xdr:col>102</xdr:col>
      <xdr:colOff>19050</xdr:colOff>
      <xdr:row>43</xdr:row>
      <xdr:rowOff>142875</xdr:rowOff>
    </xdr:to>
    <xdr:sp macro="" textlink="">
      <xdr:nvSpPr>
        <xdr:cNvPr id="315615" name="Rectangle 27"/>
        <xdr:cNvSpPr>
          <a:spLocks noChangeArrowheads="1"/>
        </xdr:cNvSpPr>
      </xdr:nvSpPr>
      <xdr:spPr bwMode="auto">
        <a:xfrm>
          <a:off x="74333100" y="9172575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102</xdr:col>
      <xdr:colOff>0</xdr:colOff>
      <xdr:row>43</xdr:row>
      <xdr:rowOff>0</xdr:rowOff>
    </xdr:from>
    <xdr:to>
      <xdr:col>102</xdr:col>
      <xdr:colOff>19050</xdr:colOff>
      <xdr:row>43</xdr:row>
      <xdr:rowOff>142875</xdr:rowOff>
    </xdr:to>
    <xdr:sp macro="" textlink="">
      <xdr:nvSpPr>
        <xdr:cNvPr id="315616" name="Rectangle 28"/>
        <xdr:cNvSpPr>
          <a:spLocks noChangeArrowheads="1"/>
        </xdr:cNvSpPr>
      </xdr:nvSpPr>
      <xdr:spPr bwMode="auto">
        <a:xfrm>
          <a:off x="74333100" y="9172575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102</xdr:col>
      <xdr:colOff>0</xdr:colOff>
      <xdr:row>43</xdr:row>
      <xdr:rowOff>0</xdr:rowOff>
    </xdr:from>
    <xdr:to>
      <xdr:col>102</xdr:col>
      <xdr:colOff>19050</xdr:colOff>
      <xdr:row>43</xdr:row>
      <xdr:rowOff>142875</xdr:rowOff>
    </xdr:to>
    <xdr:sp macro="" textlink="">
      <xdr:nvSpPr>
        <xdr:cNvPr id="315617" name="Rectangle 27"/>
        <xdr:cNvSpPr>
          <a:spLocks noChangeArrowheads="1"/>
        </xdr:cNvSpPr>
      </xdr:nvSpPr>
      <xdr:spPr bwMode="auto">
        <a:xfrm>
          <a:off x="74333100" y="9172575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102</xdr:col>
      <xdr:colOff>0</xdr:colOff>
      <xdr:row>43</xdr:row>
      <xdr:rowOff>0</xdr:rowOff>
    </xdr:from>
    <xdr:to>
      <xdr:col>102</xdr:col>
      <xdr:colOff>19050</xdr:colOff>
      <xdr:row>43</xdr:row>
      <xdr:rowOff>142875</xdr:rowOff>
    </xdr:to>
    <xdr:sp macro="" textlink="">
      <xdr:nvSpPr>
        <xdr:cNvPr id="315618" name="Rectangle 27"/>
        <xdr:cNvSpPr>
          <a:spLocks noChangeArrowheads="1"/>
        </xdr:cNvSpPr>
      </xdr:nvSpPr>
      <xdr:spPr bwMode="auto">
        <a:xfrm>
          <a:off x="74333100" y="9172575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102</xdr:col>
      <xdr:colOff>0</xdr:colOff>
      <xdr:row>43</xdr:row>
      <xdr:rowOff>0</xdr:rowOff>
    </xdr:from>
    <xdr:to>
      <xdr:col>102</xdr:col>
      <xdr:colOff>19050</xdr:colOff>
      <xdr:row>43</xdr:row>
      <xdr:rowOff>142875</xdr:rowOff>
    </xdr:to>
    <xdr:sp macro="" textlink="">
      <xdr:nvSpPr>
        <xdr:cNvPr id="315619" name="Rectangle 28"/>
        <xdr:cNvSpPr>
          <a:spLocks noChangeArrowheads="1"/>
        </xdr:cNvSpPr>
      </xdr:nvSpPr>
      <xdr:spPr bwMode="auto">
        <a:xfrm>
          <a:off x="74333100" y="9172575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102</xdr:col>
      <xdr:colOff>0</xdr:colOff>
      <xdr:row>43</xdr:row>
      <xdr:rowOff>0</xdr:rowOff>
    </xdr:from>
    <xdr:to>
      <xdr:col>102</xdr:col>
      <xdr:colOff>19050</xdr:colOff>
      <xdr:row>43</xdr:row>
      <xdr:rowOff>142875</xdr:rowOff>
    </xdr:to>
    <xdr:sp macro="" textlink="">
      <xdr:nvSpPr>
        <xdr:cNvPr id="315620" name="Rectangle 27"/>
        <xdr:cNvSpPr>
          <a:spLocks noChangeArrowheads="1"/>
        </xdr:cNvSpPr>
      </xdr:nvSpPr>
      <xdr:spPr bwMode="auto">
        <a:xfrm>
          <a:off x="74333100" y="9172575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102</xdr:col>
      <xdr:colOff>0</xdr:colOff>
      <xdr:row>43</xdr:row>
      <xdr:rowOff>0</xdr:rowOff>
    </xdr:from>
    <xdr:to>
      <xdr:col>102</xdr:col>
      <xdr:colOff>19050</xdr:colOff>
      <xdr:row>43</xdr:row>
      <xdr:rowOff>142875</xdr:rowOff>
    </xdr:to>
    <xdr:sp macro="" textlink="">
      <xdr:nvSpPr>
        <xdr:cNvPr id="315621" name="Rectangle 27"/>
        <xdr:cNvSpPr>
          <a:spLocks noChangeArrowheads="1"/>
        </xdr:cNvSpPr>
      </xdr:nvSpPr>
      <xdr:spPr bwMode="auto">
        <a:xfrm>
          <a:off x="74333100" y="9172575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102</xdr:col>
      <xdr:colOff>0</xdr:colOff>
      <xdr:row>43</xdr:row>
      <xdr:rowOff>0</xdr:rowOff>
    </xdr:from>
    <xdr:to>
      <xdr:col>102</xdr:col>
      <xdr:colOff>19050</xdr:colOff>
      <xdr:row>43</xdr:row>
      <xdr:rowOff>142875</xdr:rowOff>
    </xdr:to>
    <xdr:sp macro="" textlink="">
      <xdr:nvSpPr>
        <xdr:cNvPr id="315622" name="Rectangle 28"/>
        <xdr:cNvSpPr>
          <a:spLocks noChangeArrowheads="1"/>
        </xdr:cNvSpPr>
      </xdr:nvSpPr>
      <xdr:spPr bwMode="auto">
        <a:xfrm>
          <a:off x="74333100" y="9172575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102</xdr:col>
      <xdr:colOff>0</xdr:colOff>
      <xdr:row>43</xdr:row>
      <xdr:rowOff>0</xdr:rowOff>
    </xdr:from>
    <xdr:to>
      <xdr:col>102</xdr:col>
      <xdr:colOff>19050</xdr:colOff>
      <xdr:row>43</xdr:row>
      <xdr:rowOff>142875</xdr:rowOff>
    </xdr:to>
    <xdr:sp macro="" textlink="">
      <xdr:nvSpPr>
        <xdr:cNvPr id="315623" name="Rectangle 27"/>
        <xdr:cNvSpPr>
          <a:spLocks noChangeArrowheads="1"/>
        </xdr:cNvSpPr>
      </xdr:nvSpPr>
      <xdr:spPr bwMode="auto">
        <a:xfrm>
          <a:off x="74333100" y="9172575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102</xdr:col>
      <xdr:colOff>0</xdr:colOff>
      <xdr:row>43</xdr:row>
      <xdr:rowOff>0</xdr:rowOff>
    </xdr:from>
    <xdr:to>
      <xdr:col>102</xdr:col>
      <xdr:colOff>19050</xdr:colOff>
      <xdr:row>43</xdr:row>
      <xdr:rowOff>142875</xdr:rowOff>
    </xdr:to>
    <xdr:sp macro="" textlink="">
      <xdr:nvSpPr>
        <xdr:cNvPr id="315624" name="Rectangle 28"/>
        <xdr:cNvSpPr>
          <a:spLocks noChangeArrowheads="1"/>
        </xdr:cNvSpPr>
      </xdr:nvSpPr>
      <xdr:spPr bwMode="auto">
        <a:xfrm>
          <a:off x="74333100" y="9172575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102</xdr:col>
      <xdr:colOff>0</xdr:colOff>
      <xdr:row>43</xdr:row>
      <xdr:rowOff>0</xdr:rowOff>
    </xdr:from>
    <xdr:to>
      <xdr:col>102</xdr:col>
      <xdr:colOff>19050</xdr:colOff>
      <xdr:row>43</xdr:row>
      <xdr:rowOff>142875</xdr:rowOff>
    </xdr:to>
    <xdr:sp macro="" textlink="">
      <xdr:nvSpPr>
        <xdr:cNvPr id="315625" name="Rectangle 27"/>
        <xdr:cNvSpPr>
          <a:spLocks noChangeArrowheads="1"/>
        </xdr:cNvSpPr>
      </xdr:nvSpPr>
      <xdr:spPr bwMode="auto">
        <a:xfrm>
          <a:off x="74333100" y="9172575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102</xdr:col>
      <xdr:colOff>0</xdr:colOff>
      <xdr:row>43</xdr:row>
      <xdr:rowOff>0</xdr:rowOff>
    </xdr:from>
    <xdr:to>
      <xdr:col>102</xdr:col>
      <xdr:colOff>19050</xdr:colOff>
      <xdr:row>43</xdr:row>
      <xdr:rowOff>142875</xdr:rowOff>
    </xdr:to>
    <xdr:sp macro="" textlink="">
      <xdr:nvSpPr>
        <xdr:cNvPr id="315626" name="Rectangle 28"/>
        <xdr:cNvSpPr>
          <a:spLocks noChangeArrowheads="1"/>
        </xdr:cNvSpPr>
      </xdr:nvSpPr>
      <xdr:spPr bwMode="auto">
        <a:xfrm>
          <a:off x="74333100" y="9172575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102</xdr:col>
      <xdr:colOff>0</xdr:colOff>
      <xdr:row>43</xdr:row>
      <xdr:rowOff>0</xdr:rowOff>
    </xdr:from>
    <xdr:to>
      <xdr:col>102</xdr:col>
      <xdr:colOff>19050</xdr:colOff>
      <xdr:row>43</xdr:row>
      <xdr:rowOff>142875</xdr:rowOff>
    </xdr:to>
    <xdr:sp macro="" textlink="">
      <xdr:nvSpPr>
        <xdr:cNvPr id="315627" name="Rectangle 27"/>
        <xdr:cNvSpPr>
          <a:spLocks noChangeArrowheads="1"/>
        </xdr:cNvSpPr>
      </xdr:nvSpPr>
      <xdr:spPr bwMode="auto">
        <a:xfrm>
          <a:off x="74333100" y="9172575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102</xdr:col>
      <xdr:colOff>0</xdr:colOff>
      <xdr:row>43</xdr:row>
      <xdr:rowOff>0</xdr:rowOff>
    </xdr:from>
    <xdr:to>
      <xdr:col>102</xdr:col>
      <xdr:colOff>19050</xdr:colOff>
      <xdr:row>43</xdr:row>
      <xdr:rowOff>142875</xdr:rowOff>
    </xdr:to>
    <xdr:sp macro="" textlink="">
      <xdr:nvSpPr>
        <xdr:cNvPr id="315628" name="Rectangle 28"/>
        <xdr:cNvSpPr>
          <a:spLocks noChangeArrowheads="1"/>
        </xdr:cNvSpPr>
      </xdr:nvSpPr>
      <xdr:spPr bwMode="auto">
        <a:xfrm>
          <a:off x="74333100" y="9172575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102</xdr:col>
      <xdr:colOff>0</xdr:colOff>
      <xdr:row>43</xdr:row>
      <xdr:rowOff>0</xdr:rowOff>
    </xdr:from>
    <xdr:to>
      <xdr:col>102</xdr:col>
      <xdr:colOff>19050</xdr:colOff>
      <xdr:row>43</xdr:row>
      <xdr:rowOff>142875</xdr:rowOff>
    </xdr:to>
    <xdr:sp macro="" textlink="">
      <xdr:nvSpPr>
        <xdr:cNvPr id="315629" name="Rectangle 27"/>
        <xdr:cNvSpPr>
          <a:spLocks noChangeArrowheads="1"/>
        </xdr:cNvSpPr>
      </xdr:nvSpPr>
      <xdr:spPr bwMode="auto">
        <a:xfrm>
          <a:off x="74333100" y="9172575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102</xdr:col>
      <xdr:colOff>0</xdr:colOff>
      <xdr:row>43</xdr:row>
      <xdr:rowOff>0</xdr:rowOff>
    </xdr:from>
    <xdr:to>
      <xdr:col>102</xdr:col>
      <xdr:colOff>19050</xdr:colOff>
      <xdr:row>43</xdr:row>
      <xdr:rowOff>142875</xdr:rowOff>
    </xdr:to>
    <xdr:sp macro="" textlink="">
      <xdr:nvSpPr>
        <xdr:cNvPr id="315630" name="Rectangle 28"/>
        <xdr:cNvSpPr>
          <a:spLocks noChangeArrowheads="1"/>
        </xdr:cNvSpPr>
      </xdr:nvSpPr>
      <xdr:spPr bwMode="auto">
        <a:xfrm>
          <a:off x="74333100" y="9172575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102</xdr:col>
      <xdr:colOff>0</xdr:colOff>
      <xdr:row>43</xdr:row>
      <xdr:rowOff>0</xdr:rowOff>
    </xdr:from>
    <xdr:to>
      <xdr:col>102</xdr:col>
      <xdr:colOff>19050</xdr:colOff>
      <xdr:row>43</xdr:row>
      <xdr:rowOff>142875</xdr:rowOff>
    </xdr:to>
    <xdr:sp macro="" textlink="">
      <xdr:nvSpPr>
        <xdr:cNvPr id="315631" name="Rectangle 27"/>
        <xdr:cNvSpPr>
          <a:spLocks noChangeArrowheads="1"/>
        </xdr:cNvSpPr>
      </xdr:nvSpPr>
      <xdr:spPr bwMode="auto">
        <a:xfrm>
          <a:off x="74333100" y="9172575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102</xdr:col>
      <xdr:colOff>0</xdr:colOff>
      <xdr:row>43</xdr:row>
      <xdr:rowOff>0</xdr:rowOff>
    </xdr:from>
    <xdr:to>
      <xdr:col>102</xdr:col>
      <xdr:colOff>19050</xdr:colOff>
      <xdr:row>43</xdr:row>
      <xdr:rowOff>142875</xdr:rowOff>
    </xdr:to>
    <xdr:sp macro="" textlink="">
      <xdr:nvSpPr>
        <xdr:cNvPr id="315632" name="Rectangle 28"/>
        <xdr:cNvSpPr>
          <a:spLocks noChangeArrowheads="1"/>
        </xdr:cNvSpPr>
      </xdr:nvSpPr>
      <xdr:spPr bwMode="auto">
        <a:xfrm>
          <a:off x="74333100" y="9172575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102</xdr:col>
      <xdr:colOff>0</xdr:colOff>
      <xdr:row>43</xdr:row>
      <xdr:rowOff>0</xdr:rowOff>
    </xdr:from>
    <xdr:to>
      <xdr:col>102</xdr:col>
      <xdr:colOff>19050</xdr:colOff>
      <xdr:row>43</xdr:row>
      <xdr:rowOff>142875</xdr:rowOff>
    </xdr:to>
    <xdr:sp macro="" textlink="">
      <xdr:nvSpPr>
        <xdr:cNvPr id="315633" name="Rectangle 27"/>
        <xdr:cNvSpPr>
          <a:spLocks noChangeArrowheads="1"/>
        </xdr:cNvSpPr>
      </xdr:nvSpPr>
      <xdr:spPr bwMode="auto">
        <a:xfrm>
          <a:off x="74333100" y="9172575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102</xdr:col>
      <xdr:colOff>0</xdr:colOff>
      <xdr:row>43</xdr:row>
      <xdr:rowOff>0</xdr:rowOff>
    </xdr:from>
    <xdr:to>
      <xdr:col>102</xdr:col>
      <xdr:colOff>19050</xdr:colOff>
      <xdr:row>43</xdr:row>
      <xdr:rowOff>142875</xdr:rowOff>
    </xdr:to>
    <xdr:sp macro="" textlink="">
      <xdr:nvSpPr>
        <xdr:cNvPr id="315634" name="Rectangle 28"/>
        <xdr:cNvSpPr>
          <a:spLocks noChangeArrowheads="1"/>
        </xdr:cNvSpPr>
      </xdr:nvSpPr>
      <xdr:spPr bwMode="auto">
        <a:xfrm>
          <a:off x="74333100" y="9172575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102</xdr:col>
      <xdr:colOff>0</xdr:colOff>
      <xdr:row>43</xdr:row>
      <xdr:rowOff>0</xdr:rowOff>
    </xdr:from>
    <xdr:to>
      <xdr:col>102</xdr:col>
      <xdr:colOff>19050</xdr:colOff>
      <xdr:row>43</xdr:row>
      <xdr:rowOff>142875</xdr:rowOff>
    </xdr:to>
    <xdr:sp macro="" textlink="">
      <xdr:nvSpPr>
        <xdr:cNvPr id="315635" name="Rectangle 27"/>
        <xdr:cNvSpPr>
          <a:spLocks noChangeArrowheads="1"/>
        </xdr:cNvSpPr>
      </xdr:nvSpPr>
      <xdr:spPr bwMode="auto">
        <a:xfrm>
          <a:off x="74333100" y="9172575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102</xdr:col>
      <xdr:colOff>0</xdr:colOff>
      <xdr:row>43</xdr:row>
      <xdr:rowOff>0</xdr:rowOff>
    </xdr:from>
    <xdr:to>
      <xdr:col>102</xdr:col>
      <xdr:colOff>19050</xdr:colOff>
      <xdr:row>43</xdr:row>
      <xdr:rowOff>142875</xdr:rowOff>
    </xdr:to>
    <xdr:sp macro="" textlink="">
      <xdr:nvSpPr>
        <xdr:cNvPr id="315636" name="Rectangle 28"/>
        <xdr:cNvSpPr>
          <a:spLocks noChangeArrowheads="1"/>
        </xdr:cNvSpPr>
      </xdr:nvSpPr>
      <xdr:spPr bwMode="auto">
        <a:xfrm>
          <a:off x="74333100" y="9172575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102</xdr:col>
      <xdr:colOff>0</xdr:colOff>
      <xdr:row>43</xdr:row>
      <xdr:rowOff>0</xdr:rowOff>
    </xdr:from>
    <xdr:to>
      <xdr:col>102</xdr:col>
      <xdr:colOff>19050</xdr:colOff>
      <xdr:row>43</xdr:row>
      <xdr:rowOff>142875</xdr:rowOff>
    </xdr:to>
    <xdr:sp macro="" textlink="">
      <xdr:nvSpPr>
        <xdr:cNvPr id="315637" name="Rectangle 27"/>
        <xdr:cNvSpPr>
          <a:spLocks noChangeArrowheads="1"/>
        </xdr:cNvSpPr>
      </xdr:nvSpPr>
      <xdr:spPr bwMode="auto">
        <a:xfrm>
          <a:off x="74333100" y="9172575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102</xdr:col>
      <xdr:colOff>0</xdr:colOff>
      <xdr:row>43</xdr:row>
      <xdr:rowOff>0</xdr:rowOff>
    </xdr:from>
    <xdr:to>
      <xdr:col>102</xdr:col>
      <xdr:colOff>19050</xdr:colOff>
      <xdr:row>43</xdr:row>
      <xdr:rowOff>142875</xdr:rowOff>
    </xdr:to>
    <xdr:sp macro="" textlink="">
      <xdr:nvSpPr>
        <xdr:cNvPr id="315638" name="Rectangle 28"/>
        <xdr:cNvSpPr>
          <a:spLocks noChangeArrowheads="1"/>
        </xdr:cNvSpPr>
      </xdr:nvSpPr>
      <xdr:spPr bwMode="auto">
        <a:xfrm>
          <a:off x="74333100" y="9172575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102</xdr:col>
      <xdr:colOff>0</xdr:colOff>
      <xdr:row>43</xdr:row>
      <xdr:rowOff>0</xdr:rowOff>
    </xdr:from>
    <xdr:to>
      <xdr:col>102</xdr:col>
      <xdr:colOff>19050</xdr:colOff>
      <xdr:row>43</xdr:row>
      <xdr:rowOff>142875</xdr:rowOff>
    </xdr:to>
    <xdr:sp macro="" textlink="">
      <xdr:nvSpPr>
        <xdr:cNvPr id="315639" name="Rectangle 27"/>
        <xdr:cNvSpPr>
          <a:spLocks noChangeArrowheads="1"/>
        </xdr:cNvSpPr>
      </xdr:nvSpPr>
      <xdr:spPr bwMode="auto">
        <a:xfrm>
          <a:off x="74333100" y="9172575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102</xdr:col>
      <xdr:colOff>0</xdr:colOff>
      <xdr:row>43</xdr:row>
      <xdr:rowOff>0</xdr:rowOff>
    </xdr:from>
    <xdr:to>
      <xdr:col>102</xdr:col>
      <xdr:colOff>19050</xdr:colOff>
      <xdr:row>43</xdr:row>
      <xdr:rowOff>142875</xdr:rowOff>
    </xdr:to>
    <xdr:sp macro="" textlink="">
      <xdr:nvSpPr>
        <xdr:cNvPr id="315640" name="Rectangle 28"/>
        <xdr:cNvSpPr>
          <a:spLocks noChangeArrowheads="1"/>
        </xdr:cNvSpPr>
      </xdr:nvSpPr>
      <xdr:spPr bwMode="auto">
        <a:xfrm>
          <a:off x="74333100" y="9172575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102</xdr:col>
      <xdr:colOff>0</xdr:colOff>
      <xdr:row>43</xdr:row>
      <xdr:rowOff>0</xdr:rowOff>
    </xdr:from>
    <xdr:to>
      <xdr:col>102</xdr:col>
      <xdr:colOff>19050</xdr:colOff>
      <xdr:row>43</xdr:row>
      <xdr:rowOff>142875</xdr:rowOff>
    </xdr:to>
    <xdr:sp macro="" textlink="">
      <xdr:nvSpPr>
        <xdr:cNvPr id="315641" name="Rectangle 27"/>
        <xdr:cNvSpPr>
          <a:spLocks noChangeArrowheads="1"/>
        </xdr:cNvSpPr>
      </xdr:nvSpPr>
      <xdr:spPr bwMode="auto">
        <a:xfrm>
          <a:off x="74333100" y="9172575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102</xdr:col>
      <xdr:colOff>0</xdr:colOff>
      <xdr:row>43</xdr:row>
      <xdr:rowOff>0</xdr:rowOff>
    </xdr:from>
    <xdr:to>
      <xdr:col>102</xdr:col>
      <xdr:colOff>19050</xdr:colOff>
      <xdr:row>43</xdr:row>
      <xdr:rowOff>142875</xdr:rowOff>
    </xdr:to>
    <xdr:sp macro="" textlink="">
      <xdr:nvSpPr>
        <xdr:cNvPr id="315642" name="Rectangle 28"/>
        <xdr:cNvSpPr>
          <a:spLocks noChangeArrowheads="1"/>
        </xdr:cNvSpPr>
      </xdr:nvSpPr>
      <xdr:spPr bwMode="auto">
        <a:xfrm>
          <a:off x="74333100" y="9172575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102</xdr:col>
      <xdr:colOff>0</xdr:colOff>
      <xdr:row>43</xdr:row>
      <xdr:rowOff>0</xdr:rowOff>
    </xdr:from>
    <xdr:to>
      <xdr:col>102</xdr:col>
      <xdr:colOff>19050</xdr:colOff>
      <xdr:row>43</xdr:row>
      <xdr:rowOff>142875</xdr:rowOff>
    </xdr:to>
    <xdr:sp macro="" textlink="">
      <xdr:nvSpPr>
        <xdr:cNvPr id="315643" name="Rectangle 27"/>
        <xdr:cNvSpPr>
          <a:spLocks noChangeArrowheads="1"/>
        </xdr:cNvSpPr>
      </xdr:nvSpPr>
      <xdr:spPr bwMode="auto">
        <a:xfrm>
          <a:off x="74333100" y="9172575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102</xdr:col>
      <xdr:colOff>0</xdr:colOff>
      <xdr:row>43</xdr:row>
      <xdr:rowOff>0</xdr:rowOff>
    </xdr:from>
    <xdr:to>
      <xdr:col>102</xdr:col>
      <xdr:colOff>19050</xdr:colOff>
      <xdr:row>43</xdr:row>
      <xdr:rowOff>142875</xdr:rowOff>
    </xdr:to>
    <xdr:sp macro="" textlink="">
      <xdr:nvSpPr>
        <xdr:cNvPr id="315644" name="Rectangle 28"/>
        <xdr:cNvSpPr>
          <a:spLocks noChangeArrowheads="1"/>
        </xdr:cNvSpPr>
      </xdr:nvSpPr>
      <xdr:spPr bwMode="auto">
        <a:xfrm>
          <a:off x="74333100" y="9172575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102</xdr:col>
      <xdr:colOff>0</xdr:colOff>
      <xdr:row>43</xdr:row>
      <xdr:rowOff>0</xdr:rowOff>
    </xdr:from>
    <xdr:to>
      <xdr:col>102</xdr:col>
      <xdr:colOff>19050</xdr:colOff>
      <xdr:row>43</xdr:row>
      <xdr:rowOff>142875</xdr:rowOff>
    </xdr:to>
    <xdr:sp macro="" textlink="">
      <xdr:nvSpPr>
        <xdr:cNvPr id="315645" name="Rectangle 27"/>
        <xdr:cNvSpPr>
          <a:spLocks noChangeArrowheads="1"/>
        </xdr:cNvSpPr>
      </xdr:nvSpPr>
      <xdr:spPr bwMode="auto">
        <a:xfrm>
          <a:off x="74333100" y="9172575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102</xdr:col>
      <xdr:colOff>0</xdr:colOff>
      <xdr:row>43</xdr:row>
      <xdr:rowOff>0</xdr:rowOff>
    </xdr:from>
    <xdr:to>
      <xdr:col>102</xdr:col>
      <xdr:colOff>19050</xdr:colOff>
      <xdr:row>43</xdr:row>
      <xdr:rowOff>142875</xdr:rowOff>
    </xdr:to>
    <xdr:sp macro="" textlink="">
      <xdr:nvSpPr>
        <xdr:cNvPr id="315646" name="Rectangle 28"/>
        <xdr:cNvSpPr>
          <a:spLocks noChangeArrowheads="1"/>
        </xdr:cNvSpPr>
      </xdr:nvSpPr>
      <xdr:spPr bwMode="auto">
        <a:xfrm>
          <a:off x="74333100" y="9172575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102</xdr:col>
      <xdr:colOff>0</xdr:colOff>
      <xdr:row>43</xdr:row>
      <xdr:rowOff>0</xdr:rowOff>
    </xdr:from>
    <xdr:to>
      <xdr:col>102</xdr:col>
      <xdr:colOff>19050</xdr:colOff>
      <xdr:row>43</xdr:row>
      <xdr:rowOff>142875</xdr:rowOff>
    </xdr:to>
    <xdr:sp macro="" textlink="">
      <xdr:nvSpPr>
        <xdr:cNvPr id="315647" name="Rectangle 27"/>
        <xdr:cNvSpPr>
          <a:spLocks noChangeArrowheads="1"/>
        </xdr:cNvSpPr>
      </xdr:nvSpPr>
      <xdr:spPr bwMode="auto">
        <a:xfrm>
          <a:off x="74333100" y="9172575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102</xdr:col>
      <xdr:colOff>0</xdr:colOff>
      <xdr:row>43</xdr:row>
      <xdr:rowOff>0</xdr:rowOff>
    </xdr:from>
    <xdr:to>
      <xdr:col>102</xdr:col>
      <xdr:colOff>19050</xdr:colOff>
      <xdr:row>43</xdr:row>
      <xdr:rowOff>142875</xdr:rowOff>
    </xdr:to>
    <xdr:sp macro="" textlink="">
      <xdr:nvSpPr>
        <xdr:cNvPr id="315648" name="Rectangle 28"/>
        <xdr:cNvSpPr>
          <a:spLocks noChangeArrowheads="1"/>
        </xdr:cNvSpPr>
      </xdr:nvSpPr>
      <xdr:spPr bwMode="auto">
        <a:xfrm>
          <a:off x="74333100" y="9172575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102</xdr:col>
      <xdr:colOff>0</xdr:colOff>
      <xdr:row>43</xdr:row>
      <xdr:rowOff>0</xdr:rowOff>
    </xdr:from>
    <xdr:to>
      <xdr:col>102</xdr:col>
      <xdr:colOff>19050</xdr:colOff>
      <xdr:row>43</xdr:row>
      <xdr:rowOff>142875</xdr:rowOff>
    </xdr:to>
    <xdr:sp macro="" textlink="">
      <xdr:nvSpPr>
        <xdr:cNvPr id="315649" name="Rectangle 27"/>
        <xdr:cNvSpPr>
          <a:spLocks noChangeArrowheads="1"/>
        </xdr:cNvSpPr>
      </xdr:nvSpPr>
      <xdr:spPr bwMode="auto">
        <a:xfrm>
          <a:off x="74333100" y="9172575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102</xdr:col>
      <xdr:colOff>0</xdr:colOff>
      <xdr:row>43</xdr:row>
      <xdr:rowOff>0</xdr:rowOff>
    </xdr:from>
    <xdr:to>
      <xdr:col>102</xdr:col>
      <xdr:colOff>19050</xdr:colOff>
      <xdr:row>43</xdr:row>
      <xdr:rowOff>142875</xdr:rowOff>
    </xdr:to>
    <xdr:sp macro="" textlink="">
      <xdr:nvSpPr>
        <xdr:cNvPr id="315650" name="Rectangle 28"/>
        <xdr:cNvSpPr>
          <a:spLocks noChangeArrowheads="1"/>
        </xdr:cNvSpPr>
      </xdr:nvSpPr>
      <xdr:spPr bwMode="auto">
        <a:xfrm>
          <a:off x="74333100" y="9172575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102</xdr:col>
      <xdr:colOff>0</xdr:colOff>
      <xdr:row>43</xdr:row>
      <xdr:rowOff>0</xdr:rowOff>
    </xdr:from>
    <xdr:to>
      <xdr:col>102</xdr:col>
      <xdr:colOff>19050</xdr:colOff>
      <xdr:row>43</xdr:row>
      <xdr:rowOff>142875</xdr:rowOff>
    </xdr:to>
    <xdr:sp macro="" textlink="">
      <xdr:nvSpPr>
        <xdr:cNvPr id="315651" name="Rectangle 27"/>
        <xdr:cNvSpPr>
          <a:spLocks noChangeArrowheads="1"/>
        </xdr:cNvSpPr>
      </xdr:nvSpPr>
      <xdr:spPr bwMode="auto">
        <a:xfrm>
          <a:off x="74333100" y="9172575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102</xdr:col>
      <xdr:colOff>0</xdr:colOff>
      <xdr:row>43</xdr:row>
      <xdr:rowOff>0</xdr:rowOff>
    </xdr:from>
    <xdr:to>
      <xdr:col>102</xdr:col>
      <xdr:colOff>19050</xdr:colOff>
      <xdr:row>43</xdr:row>
      <xdr:rowOff>142875</xdr:rowOff>
    </xdr:to>
    <xdr:sp macro="" textlink="">
      <xdr:nvSpPr>
        <xdr:cNvPr id="315652" name="Rectangle 28"/>
        <xdr:cNvSpPr>
          <a:spLocks noChangeArrowheads="1"/>
        </xdr:cNvSpPr>
      </xdr:nvSpPr>
      <xdr:spPr bwMode="auto">
        <a:xfrm>
          <a:off x="74333100" y="9172575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102</xdr:col>
      <xdr:colOff>0</xdr:colOff>
      <xdr:row>43</xdr:row>
      <xdr:rowOff>0</xdr:rowOff>
    </xdr:from>
    <xdr:to>
      <xdr:col>102</xdr:col>
      <xdr:colOff>19050</xdr:colOff>
      <xdr:row>43</xdr:row>
      <xdr:rowOff>142875</xdr:rowOff>
    </xdr:to>
    <xdr:sp macro="" textlink="">
      <xdr:nvSpPr>
        <xdr:cNvPr id="315653" name="Rectangle 27"/>
        <xdr:cNvSpPr>
          <a:spLocks noChangeArrowheads="1"/>
        </xdr:cNvSpPr>
      </xdr:nvSpPr>
      <xdr:spPr bwMode="auto">
        <a:xfrm>
          <a:off x="74333100" y="9172575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102</xdr:col>
      <xdr:colOff>0</xdr:colOff>
      <xdr:row>43</xdr:row>
      <xdr:rowOff>0</xdr:rowOff>
    </xdr:from>
    <xdr:to>
      <xdr:col>102</xdr:col>
      <xdr:colOff>19050</xdr:colOff>
      <xdr:row>43</xdr:row>
      <xdr:rowOff>142875</xdr:rowOff>
    </xdr:to>
    <xdr:sp macro="" textlink="">
      <xdr:nvSpPr>
        <xdr:cNvPr id="315654" name="Rectangle 28"/>
        <xdr:cNvSpPr>
          <a:spLocks noChangeArrowheads="1"/>
        </xdr:cNvSpPr>
      </xdr:nvSpPr>
      <xdr:spPr bwMode="auto">
        <a:xfrm>
          <a:off x="74333100" y="9172575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102</xdr:col>
      <xdr:colOff>0</xdr:colOff>
      <xdr:row>43</xdr:row>
      <xdr:rowOff>0</xdr:rowOff>
    </xdr:from>
    <xdr:to>
      <xdr:col>102</xdr:col>
      <xdr:colOff>19050</xdr:colOff>
      <xdr:row>43</xdr:row>
      <xdr:rowOff>142875</xdr:rowOff>
    </xdr:to>
    <xdr:sp macro="" textlink="">
      <xdr:nvSpPr>
        <xdr:cNvPr id="315655" name="Rectangle 27"/>
        <xdr:cNvSpPr>
          <a:spLocks noChangeArrowheads="1"/>
        </xdr:cNvSpPr>
      </xdr:nvSpPr>
      <xdr:spPr bwMode="auto">
        <a:xfrm>
          <a:off x="74333100" y="9172575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102</xdr:col>
      <xdr:colOff>0</xdr:colOff>
      <xdr:row>43</xdr:row>
      <xdr:rowOff>0</xdr:rowOff>
    </xdr:from>
    <xdr:to>
      <xdr:col>102</xdr:col>
      <xdr:colOff>19050</xdr:colOff>
      <xdr:row>43</xdr:row>
      <xdr:rowOff>142875</xdr:rowOff>
    </xdr:to>
    <xdr:sp macro="" textlink="">
      <xdr:nvSpPr>
        <xdr:cNvPr id="315656" name="Rectangle 28"/>
        <xdr:cNvSpPr>
          <a:spLocks noChangeArrowheads="1"/>
        </xdr:cNvSpPr>
      </xdr:nvSpPr>
      <xdr:spPr bwMode="auto">
        <a:xfrm>
          <a:off x="74333100" y="9172575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102</xdr:col>
      <xdr:colOff>0</xdr:colOff>
      <xdr:row>43</xdr:row>
      <xdr:rowOff>0</xdr:rowOff>
    </xdr:from>
    <xdr:to>
      <xdr:col>102</xdr:col>
      <xdr:colOff>19050</xdr:colOff>
      <xdr:row>43</xdr:row>
      <xdr:rowOff>142875</xdr:rowOff>
    </xdr:to>
    <xdr:sp macro="" textlink="">
      <xdr:nvSpPr>
        <xdr:cNvPr id="315657" name="Rectangle 27"/>
        <xdr:cNvSpPr>
          <a:spLocks noChangeArrowheads="1"/>
        </xdr:cNvSpPr>
      </xdr:nvSpPr>
      <xdr:spPr bwMode="auto">
        <a:xfrm>
          <a:off x="74333100" y="9172575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102</xdr:col>
      <xdr:colOff>0</xdr:colOff>
      <xdr:row>43</xdr:row>
      <xdr:rowOff>0</xdr:rowOff>
    </xdr:from>
    <xdr:to>
      <xdr:col>102</xdr:col>
      <xdr:colOff>19050</xdr:colOff>
      <xdr:row>43</xdr:row>
      <xdr:rowOff>142875</xdr:rowOff>
    </xdr:to>
    <xdr:sp macro="" textlink="">
      <xdr:nvSpPr>
        <xdr:cNvPr id="315658" name="Rectangle 28"/>
        <xdr:cNvSpPr>
          <a:spLocks noChangeArrowheads="1"/>
        </xdr:cNvSpPr>
      </xdr:nvSpPr>
      <xdr:spPr bwMode="auto">
        <a:xfrm>
          <a:off x="74333100" y="9172575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102</xdr:col>
      <xdr:colOff>0</xdr:colOff>
      <xdr:row>43</xdr:row>
      <xdr:rowOff>0</xdr:rowOff>
    </xdr:from>
    <xdr:to>
      <xdr:col>102</xdr:col>
      <xdr:colOff>19050</xdr:colOff>
      <xdr:row>43</xdr:row>
      <xdr:rowOff>142875</xdr:rowOff>
    </xdr:to>
    <xdr:sp macro="" textlink="">
      <xdr:nvSpPr>
        <xdr:cNvPr id="315659" name="Rectangle 27"/>
        <xdr:cNvSpPr>
          <a:spLocks noChangeArrowheads="1"/>
        </xdr:cNvSpPr>
      </xdr:nvSpPr>
      <xdr:spPr bwMode="auto">
        <a:xfrm>
          <a:off x="74333100" y="9172575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102</xdr:col>
      <xdr:colOff>0</xdr:colOff>
      <xdr:row>43</xdr:row>
      <xdr:rowOff>0</xdr:rowOff>
    </xdr:from>
    <xdr:to>
      <xdr:col>102</xdr:col>
      <xdr:colOff>19050</xdr:colOff>
      <xdr:row>43</xdr:row>
      <xdr:rowOff>142875</xdr:rowOff>
    </xdr:to>
    <xdr:sp macro="" textlink="">
      <xdr:nvSpPr>
        <xdr:cNvPr id="315660" name="Rectangle 28"/>
        <xdr:cNvSpPr>
          <a:spLocks noChangeArrowheads="1"/>
        </xdr:cNvSpPr>
      </xdr:nvSpPr>
      <xdr:spPr bwMode="auto">
        <a:xfrm>
          <a:off x="74333100" y="9172575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102</xdr:col>
      <xdr:colOff>0</xdr:colOff>
      <xdr:row>43</xdr:row>
      <xdr:rowOff>0</xdr:rowOff>
    </xdr:from>
    <xdr:to>
      <xdr:col>102</xdr:col>
      <xdr:colOff>19050</xdr:colOff>
      <xdr:row>43</xdr:row>
      <xdr:rowOff>190500</xdr:rowOff>
    </xdr:to>
    <xdr:sp macro="" textlink="">
      <xdr:nvSpPr>
        <xdr:cNvPr id="315661" name="Rectangle 27"/>
        <xdr:cNvSpPr>
          <a:spLocks noChangeArrowheads="1"/>
        </xdr:cNvSpPr>
      </xdr:nvSpPr>
      <xdr:spPr bwMode="auto">
        <a:xfrm>
          <a:off x="74333100" y="9172575"/>
          <a:ext cx="190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102</xdr:col>
      <xdr:colOff>0</xdr:colOff>
      <xdr:row>43</xdr:row>
      <xdr:rowOff>0</xdr:rowOff>
    </xdr:from>
    <xdr:to>
      <xdr:col>102</xdr:col>
      <xdr:colOff>19050</xdr:colOff>
      <xdr:row>43</xdr:row>
      <xdr:rowOff>190500</xdr:rowOff>
    </xdr:to>
    <xdr:sp macro="" textlink="">
      <xdr:nvSpPr>
        <xdr:cNvPr id="315662" name="Rectangle 28"/>
        <xdr:cNvSpPr>
          <a:spLocks noChangeArrowheads="1"/>
        </xdr:cNvSpPr>
      </xdr:nvSpPr>
      <xdr:spPr bwMode="auto">
        <a:xfrm>
          <a:off x="74333100" y="9172575"/>
          <a:ext cx="190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102</xdr:col>
      <xdr:colOff>0</xdr:colOff>
      <xdr:row>43</xdr:row>
      <xdr:rowOff>0</xdr:rowOff>
    </xdr:from>
    <xdr:to>
      <xdr:col>102</xdr:col>
      <xdr:colOff>19050</xdr:colOff>
      <xdr:row>43</xdr:row>
      <xdr:rowOff>190500</xdr:rowOff>
    </xdr:to>
    <xdr:sp macro="" textlink="">
      <xdr:nvSpPr>
        <xdr:cNvPr id="315663" name="Rectangle 28"/>
        <xdr:cNvSpPr>
          <a:spLocks noChangeArrowheads="1"/>
        </xdr:cNvSpPr>
      </xdr:nvSpPr>
      <xdr:spPr bwMode="auto">
        <a:xfrm>
          <a:off x="74333100" y="9172575"/>
          <a:ext cx="190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102</xdr:col>
      <xdr:colOff>0</xdr:colOff>
      <xdr:row>43</xdr:row>
      <xdr:rowOff>0</xdr:rowOff>
    </xdr:from>
    <xdr:to>
      <xdr:col>102</xdr:col>
      <xdr:colOff>19050</xdr:colOff>
      <xdr:row>43</xdr:row>
      <xdr:rowOff>190500</xdr:rowOff>
    </xdr:to>
    <xdr:sp macro="" textlink="">
      <xdr:nvSpPr>
        <xdr:cNvPr id="315664" name="Rectangle 28"/>
        <xdr:cNvSpPr>
          <a:spLocks noChangeArrowheads="1"/>
        </xdr:cNvSpPr>
      </xdr:nvSpPr>
      <xdr:spPr bwMode="auto">
        <a:xfrm>
          <a:off x="74333100" y="9172575"/>
          <a:ext cx="190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102</xdr:col>
      <xdr:colOff>0</xdr:colOff>
      <xdr:row>43</xdr:row>
      <xdr:rowOff>0</xdr:rowOff>
    </xdr:from>
    <xdr:to>
      <xdr:col>102</xdr:col>
      <xdr:colOff>19050</xdr:colOff>
      <xdr:row>43</xdr:row>
      <xdr:rowOff>190500</xdr:rowOff>
    </xdr:to>
    <xdr:sp macro="" textlink="">
      <xdr:nvSpPr>
        <xdr:cNvPr id="315665" name="Rectangle 27"/>
        <xdr:cNvSpPr>
          <a:spLocks noChangeArrowheads="1"/>
        </xdr:cNvSpPr>
      </xdr:nvSpPr>
      <xdr:spPr bwMode="auto">
        <a:xfrm>
          <a:off x="74333100" y="9172575"/>
          <a:ext cx="190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102</xdr:col>
      <xdr:colOff>0</xdr:colOff>
      <xdr:row>43</xdr:row>
      <xdr:rowOff>0</xdr:rowOff>
    </xdr:from>
    <xdr:to>
      <xdr:col>102</xdr:col>
      <xdr:colOff>19050</xdr:colOff>
      <xdr:row>43</xdr:row>
      <xdr:rowOff>190500</xdr:rowOff>
    </xdr:to>
    <xdr:sp macro="" textlink="">
      <xdr:nvSpPr>
        <xdr:cNvPr id="315666" name="Rectangle 28"/>
        <xdr:cNvSpPr>
          <a:spLocks noChangeArrowheads="1"/>
        </xdr:cNvSpPr>
      </xdr:nvSpPr>
      <xdr:spPr bwMode="auto">
        <a:xfrm>
          <a:off x="74333100" y="9172575"/>
          <a:ext cx="190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102</xdr:col>
      <xdr:colOff>0</xdr:colOff>
      <xdr:row>43</xdr:row>
      <xdr:rowOff>0</xdr:rowOff>
    </xdr:from>
    <xdr:to>
      <xdr:col>102</xdr:col>
      <xdr:colOff>19050</xdr:colOff>
      <xdr:row>43</xdr:row>
      <xdr:rowOff>190500</xdr:rowOff>
    </xdr:to>
    <xdr:sp macro="" textlink="">
      <xdr:nvSpPr>
        <xdr:cNvPr id="315667" name="Rectangle 28"/>
        <xdr:cNvSpPr>
          <a:spLocks noChangeArrowheads="1"/>
        </xdr:cNvSpPr>
      </xdr:nvSpPr>
      <xdr:spPr bwMode="auto">
        <a:xfrm>
          <a:off x="74333100" y="9172575"/>
          <a:ext cx="190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102</xdr:col>
      <xdr:colOff>0</xdr:colOff>
      <xdr:row>43</xdr:row>
      <xdr:rowOff>0</xdr:rowOff>
    </xdr:from>
    <xdr:to>
      <xdr:col>102</xdr:col>
      <xdr:colOff>19050</xdr:colOff>
      <xdr:row>43</xdr:row>
      <xdr:rowOff>190500</xdr:rowOff>
    </xdr:to>
    <xdr:sp macro="" textlink="">
      <xdr:nvSpPr>
        <xdr:cNvPr id="315668" name="Rectangle 28"/>
        <xdr:cNvSpPr>
          <a:spLocks noChangeArrowheads="1"/>
        </xdr:cNvSpPr>
      </xdr:nvSpPr>
      <xdr:spPr bwMode="auto">
        <a:xfrm>
          <a:off x="74333100" y="9172575"/>
          <a:ext cx="190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102</xdr:col>
      <xdr:colOff>0</xdr:colOff>
      <xdr:row>43</xdr:row>
      <xdr:rowOff>0</xdr:rowOff>
    </xdr:from>
    <xdr:to>
      <xdr:col>102</xdr:col>
      <xdr:colOff>19050</xdr:colOff>
      <xdr:row>43</xdr:row>
      <xdr:rowOff>190500</xdr:rowOff>
    </xdr:to>
    <xdr:sp macro="" textlink="">
      <xdr:nvSpPr>
        <xdr:cNvPr id="315669" name="Rectangle 28"/>
        <xdr:cNvSpPr>
          <a:spLocks noChangeArrowheads="1"/>
        </xdr:cNvSpPr>
      </xdr:nvSpPr>
      <xdr:spPr bwMode="auto">
        <a:xfrm>
          <a:off x="74333100" y="9172575"/>
          <a:ext cx="190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102</xdr:col>
      <xdr:colOff>0</xdr:colOff>
      <xdr:row>43</xdr:row>
      <xdr:rowOff>0</xdr:rowOff>
    </xdr:from>
    <xdr:to>
      <xdr:col>102</xdr:col>
      <xdr:colOff>19050</xdr:colOff>
      <xdr:row>43</xdr:row>
      <xdr:rowOff>190500</xdr:rowOff>
    </xdr:to>
    <xdr:sp macro="" textlink="">
      <xdr:nvSpPr>
        <xdr:cNvPr id="315670" name="Rectangle 27"/>
        <xdr:cNvSpPr>
          <a:spLocks noChangeArrowheads="1"/>
        </xdr:cNvSpPr>
      </xdr:nvSpPr>
      <xdr:spPr bwMode="auto">
        <a:xfrm>
          <a:off x="74333100" y="9172575"/>
          <a:ext cx="190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102</xdr:col>
      <xdr:colOff>0</xdr:colOff>
      <xdr:row>43</xdr:row>
      <xdr:rowOff>0</xdr:rowOff>
    </xdr:from>
    <xdr:to>
      <xdr:col>102</xdr:col>
      <xdr:colOff>19050</xdr:colOff>
      <xdr:row>43</xdr:row>
      <xdr:rowOff>190500</xdr:rowOff>
    </xdr:to>
    <xdr:sp macro="" textlink="">
      <xdr:nvSpPr>
        <xdr:cNvPr id="315671" name="Rectangle 28"/>
        <xdr:cNvSpPr>
          <a:spLocks noChangeArrowheads="1"/>
        </xdr:cNvSpPr>
      </xdr:nvSpPr>
      <xdr:spPr bwMode="auto">
        <a:xfrm>
          <a:off x="74333100" y="9172575"/>
          <a:ext cx="190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102</xdr:col>
      <xdr:colOff>0</xdr:colOff>
      <xdr:row>43</xdr:row>
      <xdr:rowOff>0</xdr:rowOff>
    </xdr:from>
    <xdr:to>
      <xdr:col>102</xdr:col>
      <xdr:colOff>19050</xdr:colOff>
      <xdr:row>43</xdr:row>
      <xdr:rowOff>190500</xdr:rowOff>
    </xdr:to>
    <xdr:sp macro="" textlink="">
      <xdr:nvSpPr>
        <xdr:cNvPr id="315672" name="Rectangle 27"/>
        <xdr:cNvSpPr>
          <a:spLocks noChangeArrowheads="1"/>
        </xdr:cNvSpPr>
      </xdr:nvSpPr>
      <xdr:spPr bwMode="auto">
        <a:xfrm>
          <a:off x="74333100" y="9172575"/>
          <a:ext cx="190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102</xdr:col>
      <xdr:colOff>0</xdr:colOff>
      <xdr:row>43</xdr:row>
      <xdr:rowOff>0</xdr:rowOff>
    </xdr:from>
    <xdr:to>
      <xdr:col>102</xdr:col>
      <xdr:colOff>19050</xdr:colOff>
      <xdr:row>43</xdr:row>
      <xdr:rowOff>190500</xdr:rowOff>
    </xdr:to>
    <xdr:sp macro="" textlink="">
      <xdr:nvSpPr>
        <xdr:cNvPr id="315673" name="Rectangle 28"/>
        <xdr:cNvSpPr>
          <a:spLocks noChangeArrowheads="1"/>
        </xdr:cNvSpPr>
      </xdr:nvSpPr>
      <xdr:spPr bwMode="auto">
        <a:xfrm>
          <a:off x="74333100" y="9172575"/>
          <a:ext cx="190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102</xdr:col>
      <xdr:colOff>0</xdr:colOff>
      <xdr:row>43</xdr:row>
      <xdr:rowOff>0</xdr:rowOff>
    </xdr:from>
    <xdr:to>
      <xdr:col>102</xdr:col>
      <xdr:colOff>19050</xdr:colOff>
      <xdr:row>43</xdr:row>
      <xdr:rowOff>190500</xdr:rowOff>
    </xdr:to>
    <xdr:sp macro="" textlink="">
      <xdr:nvSpPr>
        <xdr:cNvPr id="315674" name="Rectangle 27"/>
        <xdr:cNvSpPr>
          <a:spLocks noChangeArrowheads="1"/>
        </xdr:cNvSpPr>
      </xdr:nvSpPr>
      <xdr:spPr bwMode="auto">
        <a:xfrm>
          <a:off x="74333100" y="9172575"/>
          <a:ext cx="190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102</xdr:col>
      <xdr:colOff>0</xdr:colOff>
      <xdr:row>43</xdr:row>
      <xdr:rowOff>0</xdr:rowOff>
    </xdr:from>
    <xdr:to>
      <xdr:col>102</xdr:col>
      <xdr:colOff>19050</xdr:colOff>
      <xdr:row>43</xdr:row>
      <xdr:rowOff>190500</xdr:rowOff>
    </xdr:to>
    <xdr:sp macro="" textlink="">
      <xdr:nvSpPr>
        <xdr:cNvPr id="315675" name="Rectangle 28"/>
        <xdr:cNvSpPr>
          <a:spLocks noChangeArrowheads="1"/>
        </xdr:cNvSpPr>
      </xdr:nvSpPr>
      <xdr:spPr bwMode="auto">
        <a:xfrm>
          <a:off x="74333100" y="9172575"/>
          <a:ext cx="190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102</xdr:col>
      <xdr:colOff>0</xdr:colOff>
      <xdr:row>43</xdr:row>
      <xdr:rowOff>0</xdr:rowOff>
    </xdr:from>
    <xdr:to>
      <xdr:col>102</xdr:col>
      <xdr:colOff>19050</xdr:colOff>
      <xdr:row>43</xdr:row>
      <xdr:rowOff>190500</xdr:rowOff>
    </xdr:to>
    <xdr:sp macro="" textlink="">
      <xdr:nvSpPr>
        <xdr:cNvPr id="315676" name="Rectangle 27"/>
        <xdr:cNvSpPr>
          <a:spLocks noChangeArrowheads="1"/>
        </xdr:cNvSpPr>
      </xdr:nvSpPr>
      <xdr:spPr bwMode="auto">
        <a:xfrm>
          <a:off x="74333100" y="9172575"/>
          <a:ext cx="190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102</xdr:col>
      <xdr:colOff>0</xdr:colOff>
      <xdr:row>43</xdr:row>
      <xdr:rowOff>0</xdr:rowOff>
    </xdr:from>
    <xdr:to>
      <xdr:col>102</xdr:col>
      <xdr:colOff>19050</xdr:colOff>
      <xdr:row>43</xdr:row>
      <xdr:rowOff>190500</xdr:rowOff>
    </xdr:to>
    <xdr:sp macro="" textlink="">
      <xdr:nvSpPr>
        <xdr:cNvPr id="315677" name="Rectangle 28"/>
        <xdr:cNvSpPr>
          <a:spLocks noChangeArrowheads="1"/>
        </xdr:cNvSpPr>
      </xdr:nvSpPr>
      <xdr:spPr bwMode="auto">
        <a:xfrm>
          <a:off x="74333100" y="9172575"/>
          <a:ext cx="190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102</xdr:col>
      <xdr:colOff>0</xdr:colOff>
      <xdr:row>43</xdr:row>
      <xdr:rowOff>0</xdr:rowOff>
    </xdr:from>
    <xdr:to>
      <xdr:col>102</xdr:col>
      <xdr:colOff>19050</xdr:colOff>
      <xdr:row>43</xdr:row>
      <xdr:rowOff>190500</xdr:rowOff>
    </xdr:to>
    <xdr:sp macro="" textlink="">
      <xdr:nvSpPr>
        <xdr:cNvPr id="315678" name="Rectangle 27"/>
        <xdr:cNvSpPr>
          <a:spLocks noChangeArrowheads="1"/>
        </xdr:cNvSpPr>
      </xdr:nvSpPr>
      <xdr:spPr bwMode="auto">
        <a:xfrm>
          <a:off x="74333100" y="9172575"/>
          <a:ext cx="190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102</xdr:col>
      <xdr:colOff>0</xdr:colOff>
      <xdr:row>43</xdr:row>
      <xdr:rowOff>0</xdr:rowOff>
    </xdr:from>
    <xdr:to>
      <xdr:col>102</xdr:col>
      <xdr:colOff>19050</xdr:colOff>
      <xdr:row>43</xdr:row>
      <xdr:rowOff>142875</xdr:rowOff>
    </xdr:to>
    <xdr:sp macro="" textlink="">
      <xdr:nvSpPr>
        <xdr:cNvPr id="315679" name="Rectangle 27"/>
        <xdr:cNvSpPr>
          <a:spLocks noChangeArrowheads="1"/>
        </xdr:cNvSpPr>
      </xdr:nvSpPr>
      <xdr:spPr bwMode="auto">
        <a:xfrm>
          <a:off x="74333100" y="9172575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102</xdr:col>
      <xdr:colOff>0</xdr:colOff>
      <xdr:row>43</xdr:row>
      <xdr:rowOff>0</xdr:rowOff>
    </xdr:from>
    <xdr:to>
      <xdr:col>102</xdr:col>
      <xdr:colOff>19050</xdr:colOff>
      <xdr:row>43</xdr:row>
      <xdr:rowOff>142875</xdr:rowOff>
    </xdr:to>
    <xdr:sp macro="" textlink="">
      <xdr:nvSpPr>
        <xdr:cNvPr id="315680" name="Rectangle 28"/>
        <xdr:cNvSpPr>
          <a:spLocks noChangeArrowheads="1"/>
        </xdr:cNvSpPr>
      </xdr:nvSpPr>
      <xdr:spPr bwMode="auto">
        <a:xfrm>
          <a:off x="74333100" y="9172575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102</xdr:col>
      <xdr:colOff>0</xdr:colOff>
      <xdr:row>43</xdr:row>
      <xdr:rowOff>0</xdr:rowOff>
    </xdr:from>
    <xdr:to>
      <xdr:col>102</xdr:col>
      <xdr:colOff>19050</xdr:colOff>
      <xdr:row>43</xdr:row>
      <xdr:rowOff>142875</xdr:rowOff>
    </xdr:to>
    <xdr:sp macro="" textlink="">
      <xdr:nvSpPr>
        <xdr:cNvPr id="315681" name="Rectangle 28"/>
        <xdr:cNvSpPr>
          <a:spLocks noChangeArrowheads="1"/>
        </xdr:cNvSpPr>
      </xdr:nvSpPr>
      <xdr:spPr bwMode="auto">
        <a:xfrm>
          <a:off x="74333100" y="9172575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102</xdr:col>
      <xdr:colOff>0</xdr:colOff>
      <xdr:row>43</xdr:row>
      <xdr:rowOff>0</xdr:rowOff>
    </xdr:from>
    <xdr:to>
      <xdr:col>102</xdr:col>
      <xdr:colOff>19050</xdr:colOff>
      <xdr:row>43</xdr:row>
      <xdr:rowOff>142875</xdr:rowOff>
    </xdr:to>
    <xdr:sp macro="" textlink="">
      <xdr:nvSpPr>
        <xdr:cNvPr id="315682" name="Rectangle 28"/>
        <xdr:cNvSpPr>
          <a:spLocks noChangeArrowheads="1"/>
        </xdr:cNvSpPr>
      </xdr:nvSpPr>
      <xdr:spPr bwMode="auto">
        <a:xfrm>
          <a:off x="74333100" y="9172575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102</xdr:col>
      <xdr:colOff>0</xdr:colOff>
      <xdr:row>43</xdr:row>
      <xdr:rowOff>0</xdr:rowOff>
    </xdr:from>
    <xdr:to>
      <xdr:col>102</xdr:col>
      <xdr:colOff>19050</xdr:colOff>
      <xdr:row>43</xdr:row>
      <xdr:rowOff>142875</xdr:rowOff>
    </xdr:to>
    <xdr:sp macro="" textlink="">
      <xdr:nvSpPr>
        <xdr:cNvPr id="315683" name="Rectangle 27"/>
        <xdr:cNvSpPr>
          <a:spLocks noChangeArrowheads="1"/>
        </xdr:cNvSpPr>
      </xdr:nvSpPr>
      <xdr:spPr bwMode="auto">
        <a:xfrm>
          <a:off x="74333100" y="9172575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102</xdr:col>
      <xdr:colOff>0</xdr:colOff>
      <xdr:row>43</xdr:row>
      <xdr:rowOff>0</xdr:rowOff>
    </xdr:from>
    <xdr:to>
      <xdr:col>102</xdr:col>
      <xdr:colOff>19050</xdr:colOff>
      <xdr:row>43</xdr:row>
      <xdr:rowOff>142875</xdr:rowOff>
    </xdr:to>
    <xdr:sp macro="" textlink="">
      <xdr:nvSpPr>
        <xdr:cNvPr id="315684" name="Rectangle 28"/>
        <xdr:cNvSpPr>
          <a:spLocks noChangeArrowheads="1"/>
        </xdr:cNvSpPr>
      </xdr:nvSpPr>
      <xdr:spPr bwMode="auto">
        <a:xfrm>
          <a:off x="74333100" y="9172575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102</xdr:col>
      <xdr:colOff>0</xdr:colOff>
      <xdr:row>43</xdr:row>
      <xdr:rowOff>0</xdr:rowOff>
    </xdr:from>
    <xdr:to>
      <xdr:col>102</xdr:col>
      <xdr:colOff>19050</xdr:colOff>
      <xdr:row>43</xdr:row>
      <xdr:rowOff>142875</xdr:rowOff>
    </xdr:to>
    <xdr:sp macro="" textlink="">
      <xdr:nvSpPr>
        <xdr:cNvPr id="315685" name="Rectangle 28"/>
        <xdr:cNvSpPr>
          <a:spLocks noChangeArrowheads="1"/>
        </xdr:cNvSpPr>
      </xdr:nvSpPr>
      <xdr:spPr bwMode="auto">
        <a:xfrm>
          <a:off x="74333100" y="9172575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102</xdr:col>
      <xdr:colOff>0</xdr:colOff>
      <xdr:row>43</xdr:row>
      <xdr:rowOff>0</xdr:rowOff>
    </xdr:from>
    <xdr:to>
      <xdr:col>102</xdr:col>
      <xdr:colOff>19050</xdr:colOff>
      <xdr:row>43</xdr:row>
      <xdr:rowOff>142875</xdr:rowOff>
    </xdr:to>
    <xdr:sp macro="" textlink="">
      <xdr:nvSpPr>
        <xdr:cNvPr id="315686" name="Rectangle 28"/>
        <xdr:cNvSpPr>
          <a:spLocks noChangeArrowheads="1"/>
        </xdr:cNvSpPr>
      </xdr:nvSpPr>
      <xdr:spPr bwMode="auto">
        <a:xfrm>
          <a:off x="74333100" y="9172575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102</xdr:col>
      <xdr:colOff>0</xdr:colOff>
      <xdr:row>43</xdr:row>
      <xdr:rowOff>0</xdr:rowOff>
    </xdr:from>
    <xdr:to>
      <xdr:col>102</xdr:col>
      <xdr:colOff>19050</xdr:colOff>
      <xdr:row>43</xdr:row>
      <xdr:rowOff>142875</xdr:rowOff>
    </xdr:to>
    <xdr:sp macro="" textlink="">
      <xdr:nvSpPr>
        <xdr:cNvPr id="315687" name="Rectangle 28"/>
        <xdr:cNvSpPr>
          <a:spLocks noChangeArrowheads="1"/>
        </xdr:cNvSpPr>
      </xdr:nvSpPr>
      <xdr:spPr bwMode="auto">
        <a:xfrm>
          <a:off x="74333100" y="9172575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102</xdr:col>
      <xdr:colOff>0</xdr:colOff>
      <xdr:row>43</xdr:row>
      <xdr:rowOff>0</xdr:rowOff>
    </xdr:from>
    <xdr:to>
      <xdr:col>102</xdr:col>
      <xdr:colOff>19050</xdr:colOff>
      <xdr:row>43</xdr:row>
      <xdr:rowOff>142875</xdr:rowOff>
    </xdr:to>
    <xdr:sp macro="" textlink="">
      <xdr:nvSpPr>
        <xdr:cNvPr id="315688" name="Rectangle 27"/>
        <xdr:cNvSpPr>
          <a:spLocks noChangeArrowheads="1"/>
        </xdr:cNvSpPr>
      </xdr:nvSpPr>
      <xdr:spPr bwMode="auto">
        <a:xfrm>
          <a:off x="74333100" y="9172575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102</xdr:col>
      <xdr:colOff>0</xdr:colOff>
      <xdr:row>43</xdr:row>
      <xdr:rowOff>0</xdr:rowOff>
    </xdr:from>
    <xdr:to>
      <xdr:col>102</xdr:col>
      <xdr:colOff>19050</xdr:colOff>
      <xdr:row>43</xdr:row>
      <xdr:rowOff>142875</xdr:rowOff>
    </xdr:to>
    <xdr:sp macro="" textlink="">
      <xdr:nvSpPr>
        <xdr:cNvPr id="315689" name="Rectangle 28"/>
        <xdr:cNvSpPr>
          <a:spLocks noChangeArrowheads="1"/>
        </xdr:cNvSpPr>
      </xdr:nvSpPr>
      <xdr:spPr bwMode="auto">
        <a:xfrm>
          <a:off x="74333100" y="9172575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102</xdr:col>
      <xdr:colOff>0</xdr:colOff>
      <xdr:row>43</xdr:row>
      <xdr:rowOff>0</xdr:rowOff>
    </xdr:from>
    <xdr:to>
      <xdr:col>102</xdr:col>
      <xdr:colOff>19050</xdr:colOff>
      <xdr:row>43</xdr:row>
      <xdr:rowOff>142875</xdr:rowOff>
    </xdr:to>
    <xdr:sp macro="" textlink="">
      <xdr:nvSpPr>
        <xdr:cNvPr id="315690" name="Rectangle 27"/>
        <xdr:cNvSpPr>
          <a:spLocks noChangeArrowheads="1"/>
        </xdr:cNvSpPr>
      </xdr:nvSpPr>
      <xdr:spPr bwMode="auto">
        <a:xfrm>
          <a:off x="74333100" y="9172575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102</xdr:col>
      <xdr:colOff>0</xdr:colOff>
      <xdr:row>43</xdr:row>
      <xdr:rowOff>0</xdr:rowOff>
    </xdr:from>
    <xdr:to>
      <xdr:col>102</xdr:col>
      <xdr:colOff>19050</xdr:colOff>
      <xdr:row>43</xdr:row>
      <xdr:rowOff>142875</xdr:rowOff>
    </xdr:to>
    <xdr:sp macro="" textlink="">
      <xdr:nvSpPr>
        <xdr:cNvPr id="315691" name="Rectangle 27"/>
        <xdr:cNvSpPr>
          <a:spLocks noChangeArrowheads="1"/>
        </xdr:cNvSpPr>
      </xdr:nvSpPr>
      <xdr:spPr bwMode="auto">
        <a:xfrm>
          <a:off x="74333100" y="9172575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102</xdr:col>
      <xdr:colOff>0</xdr:colOff>
      <xdr:row>43</xdr:row>
      <xdr:rowOff>0</xdr:rowOff>
    </xdr:from>
    <xdr:to>
      <xdr:col>102</xdr:col>
      <xdr:colOff>19050</xdr:colOff>
      <xdr:row>43</xdr:row>
      <xdr:rowOff>142875</xdr:rowOff>
    </xdr:to>
    <xdr:sp macro="" textlink="">
      <xdr:nvSpPr>
        <xdr:cNvPr id="315692" name="Rectangle 28"/>
        <xdr:cNvSpPr>
          <a:spLocks noChangeArrowheads="1"/>
        </xdr:cNvSpPr>
      </xdr:nvSpPr>
      <xdr:spPr bwMode="auto">
        <a:xfrm>
          <a:off x="74333100" y="9172575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102</xdr:col>
      <xdr:colOff>0</xdr:colOff>
      <xdr:row>43</xdr:row>
      <xdr:rowOff>0</xdr:rowOff>
    </xdr:from>
    <xdr:to>
      <xdr:col>102</xdr:col>
      <xdr:colOff>19050</xdr:colOff>
      <xdr:row>43</xdr:row>
      <xdr:rowOff>142875</xdr:rowOff>
    </xdr:to>
    <xdr:sp macro="" textlink="">
      <xdr:nvSpPr>
        <xdr:cNvPr id="315693" name="Rectangle 27"/>
        <xdr:cNvSpPr>
          <a:spLocks noChangeArrowheads="1"/>
        </xdr:cNvSpPr>
      </xdr:nvSpPr>
      <xdr:spPr bwMode="auto">
        <a:xfrm>
          <a:off x="74333100" y="9172575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102</xdr:col>
      <xdr:colOff>0</xdr:colOff>
      <xdr:row>43</xdr:row>
      <xdr:rowOff>0</xdr:rowOff>
    </xdr:from>
    <xdr:to>
      <xdr:col>102</xdr:col>
      <xdr:colOff>19050</xdr:colOff>
      <xdr:row>43</xdr:row>
      <xdr:rowOff>190500</xdr:rowOff>
    </xdr:to>
    <xdr:sp macro="" textlink="">
      <xdr:nvSpPr>
        <xdr:cNvPr id="315694" name="Rectangle 27"/>
        <xdr:cNvSpPr>
          <a:spLocks noChangeArrowheads="1"/>
        </xdr:cNvSpPr>
      </xdr:nvSpPr>
      <xdr:spPr bwMode="auto">
        <a:xfrm>
          <a:off x="74333100" y="9172575"/>
          <a:ext cx="190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102</xdr:col>
      <xdr:colOff>0</xdr:colOff>
      <xdr:row>43</xdr:row>
      <xdr:rowOff>0</xdr:rowOff>
    </xdr:from>
    <xdr:to>
      <xdr:col>102</xdr:col>
      <xdr:colOff>19050</xdr:colOff>
      <xdr:row>43</xdr:row>
      <xdr:rowOff>190500</xdr:rowOff>
    </xdr:to>
    <xdr:sp macro="" textlink="">
      <xdr:nvSpPr>
        <xdr:cNvPr id="315695" name="Rectangle 28"/>
        <xdr:cNvSpPr>
          <a:spLocks noChangeArrowheads="1"/>
        </xdr:cNvSpPr>
      </xdr:nvSpPr>
      <xdr:spPr bwMode="auto">
        <a:xfrm>
          <a:off x="74333100" y="9172575"/>
          <a:ext cx="190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102</xdr:col>
      <xdr:colOff>0</xdr:colOff>
      <xdr:row>43</xdr:row>
      <xdr:rowOff>0</xdr:rowOff>
    </xdr:from>
    <xdr:to>
      <xdr:col>102</xdr:col>
      <xdr:colOff>19050</xdr:colOff>
      <xdr:row>43</xdr:row>
      <xdr:rowOff>190500</xdr:rowOff>
    </xdr:to>
    <xdr:sp macro="" textlink="">
      <xdr:nvSpPr>
        <xdr:cNvPr id="315696" name="Rectangle 28"/>
        <xdr:cNvSpPr>
          <a:spLocks noChangeArrowheads="1"/>
        </xdr:cNvSpPr>
      </xdr:nvSpPr>
      <xdr:spPr bwMode="auto">
        <a:xfrm>
          <a:off x="74333100" y="9172575"/>
          <a:ext cx="190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102</xdr:col>
      <xdr:colOff>0</xdr:colOff>
      <xdr:row>43</xdr:row>
      <xdr:rowOff>0</xdr:rowOff>
    </xdr:from>
    <xdr:to>
      <xdr:col>102</xdr:col>
      <xdr:colOff>19050</xdr:colOff>
      <xdr:row>43</xdr:row>
      <xdr:rowOff>190500</xdr:rowOff>
    </xdr:to>
    <xdr:sp macro="" textlink="">
      <xdr:nvSpPr>
        <xdr:cNvPr id="315697" name="Rectangle 28"/>
        <xdr:cNvSpPr>
          <a:spLocks noChangeArrowheads="1"/>
        </xdr:cNvSpPr>
      </xdr:nvSpPr>
      <xdr:spPr bwMode="auto">
        <a:xfrm>
          <a:off x="74333100" y="9172575"/>
          <a:ext cx="190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102</xdr:col>
      <xdr:colOff>0</xdr:colOff>
      <xdr:row>43</xdr:row>
      <xdr:rowOff>0</xdr:rowOff>
    </xdr:from>
    <xdr:to>
      <xdr:col>102</xdr:col>
      <xdr:colOff>19050</xdr:colOff>
      <xdr:row>43</xdr:row>
      <xdr:rowOff>190500</xdr:rowOff>
    </xdr:to>
    <xdr:sp macro="" textlink="">
      <xdr:nvSpPr>
        <xdr:cNvPr id="315698" name="Rectangle 28"/>
        <xdr:cNvSpPr>
          <a:spLocks noChangeArrowheads="1"/>
        </xdr:cNvSpPr>
      </xdr:nvSpPr>
      <xdr:spPr bwMode="auto">
        <a:xfrm>
          <a:off x="74333100" y="9172575"/>
          <a:ext cx="190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102</xdr:col>
      <xdr:colOff>0</xdr:colOff>
      <xdr:row>43</xdr:row>
      <xdr:rowOff>0</xdr:rowOff>
    </xdr:from>
    <xdr:to>
      <xdr:col>102</xdr:col>
      <xdr:colOff>19050</xdr:colOff>
      <xdr:row>43</xdr:row>
      <xdr:rowOff>190500</xdr:rowOff>
    </xdr:to>
    <xdr:sp macro="" textlink="">
      <xdr:nvSpPr>
        <xdr:cNvPr id="315699" name="Rectangle 27"/>
        <xdr:cNvSpPr>
          <a:spLocks noChangeArrowheads="1"/>
        </xdr:cNvSpPr>
      </xdr:nvSpPr>
      <xdr:spPr bwMode="auto">
        <a:xfrm>
          <a:off x="74333100" y="9172575"/>
          <a:ext cx="190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102</xdr:col>
      <xdr:colOff>0</xdr:colOff>
      <xdr:row>43</xdr:row>
      <xdr:rowOff>0</xdr:rowOff>
    </xdr:from>
    <xdr:to>
      <xdr:col>102</xdr:col>
      <xdr:colOff>19050</xdr:colOff>
      <xdr:row>43</xdr:row>
      <xdr:rowOff>190500</xdr:rowOff>
    </xdr:to>
    <xdr:sp macro="" textlink="">
      <xdr:nvSpPr>
        <xdr:cNvPr id="315700" name="Rectangle 28"/>
        <xdr:cNvSpPr>
          <a:spLocks noChangeArrowheads="1"/>
        </xdr:cNvSpPr>
      </xdr:nvSpPr>
      <xdr:spPr bwMode="auto">
        <a:xfrm>
          <a:off x="74333100" y="9172575"/>
          <a:ext cx="190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102</xdr:col>
      <xdr:colOff>0</xdr:colOff>
      <xdr:row>43</xdr:row>
      <xdr:rowOff>0</xdr:rowOff>
    </xdr:from>
    <xdr:to>
      <xdr:col>102</xdr:col>
      <xdr:colOff>19050</xdr:colOff>
      <xdr:row>43</xdr:row>
      <xdr:rowOff>190500</xdr:rowOff>
    </xdr:to>
    <xdr:sp macro="" textlink="">
      <xdr:nvSpPr>
        <xdr:cNvPr id="315701" name="Rectangle 27"/>
        <xdr:cNvSpPr>
          <a:spLocks noChangeArrowheads="1"/>
        </xdr:cNvSpPr>
      </xdr:nvSpPr>
      <xdr:spPr bwMode="auto">
        <a:xfrm>
          <a:off x="74333100" y="9172575"/>
          <a:ext cx="190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102</xdr:col>
      <xdr:colOff>0</xdr:colOff>
      <xdr:row>43</xdr:row>
      <xdr:rowOff>0</xdr:rowOff>
    </xdr:from>
    <xdr:to>
      <xdr:col>102</xdr:col>
      <xdr:colOff>19050</xdr:colOff>
      <xdr:row>43</xdr:row>
      <xdr:rowOff>190500</xdr:rowOff>
    </xdr:to>
    <xdr:sp macro="" textlink="">
      <xdr:nvSpPr>
        <xdr:cNvPr id="315702" name="Rectangle 28"/>
        <xdr:cNvSpPr>
          <a:spLocks noChangeArrowheads="1"/>
        </xdr:cNvSpPr>
      </xdr:nvSpPr>
      <xdr:spPr bwMode="auto">
        <a:xfrm>
          <a:off x="74333100" y="9172575"/>
          <a:ext cx="190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102</xdr:col>
      <xdr:colOff>0</xdr:colOff>
      <xdr:row>43</xdr:row>
      <xdr:rowOff>0</xdr:rowOff>
    </xdr:from>
    <xdr:to>
      <xdr:col>102</xdr:col>
      <xdr:colOff>19050</xdr:colOff>
      <xdr:row>43</xdr:row>
      <xdr:rowOff>190500</xdr:rowOff>
    </xdr:to>
    <xdr:sp macro="" textlink="">
      <xdr:nvSpPr>
        <xdr:cNvPr id="315703" name="Rectangle 28"/>
        <xdr:cNvSpPr>
          <a:spLocks noChangeArrowheads="1"/>
        </xdr:cNvSpPr>
      </xdr:nvSpPr>
      <xdr:spPr bwMode="auto">
        <a:xfrm>
          <a:off x="74333100" y="9172575"/>
          <a:ext cx="190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102</xdr:col>
      <xdr:colOff>0</xdr:colOff>
      <xdr:row>43</xdr:row>
      <xdr:rowOff>0</xdr:rowOff>
    </xdr:from>
    <xdr:to>
      <xdr:col>102</xdr:col>
      <xdr:colOff>19050</xdr:colOff>
      <xdr:row>43</xdr:row>
      <xdr:rowOff>190500</xdr:rowOff>
    </xdr:to>
    <xdr:sp macro="" textlink="">
      <xdr:nvSpPr>
        <xdr:cNvPr id="315704" name="Rectangle 28"/>
        <xdr:cNvSpPr>
          <a:spLocks noChangeArrowheads="1"/>
        </xdr:cNvSpPr>
      </xdr:nvSpPr>
      <xdr:spPr bwMode="auto">
        <a:xfrm>
          <a:off x="74333100" y="9172575"/>
          <a:ext cx="190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102</xdr:col>
      <xdr:colOff>0</xdr:colOff>
      <xdr:row>43</xdr:row>
      <xdr:rowOff>0</xdr:rowOff>
    </xdr:from>
    <xdr:to>
      <xdr:col>102</xdr:col>
      <xdr:colOff>19050</xdr:colOff>
      <xdr:row>43</xdr:row>
      <xdr:rowOff>190500</xdr:rowOff>
    </xdr:to>
    <xdr:sp macro="" textlink="">
      <xdr:nvSpPr>
        <xdr:cNvPr id="315705" name="Rectangle 28"/>
        <xdr:cNvSpPr>
          <a:spLocks noChangeArrowheads="1"/>
        </xdr:cNvSpPr>
      </xdr:nvSpPr>
      <xdr:spPr bwMode="auto">
        <a:xfrm>
          <a:off x="74333100" y="9172575"/>
          <a:ext cx="190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102</xdr:col>
      <xdr:colOff>0</xdr:colOff>
      <xdr:row>43</xdr:row>
      <xdr:rowOff>0</xdr:rowOff>
    </xdr:from>
    <xdr:to>
      <xdr:col>102</xdr:col>
      <xdr:colOff>19050</xdr:colOff>
      <xdr:row>43</xdr:row>
      <xdr:rowOff>190500</xdr:rowOff>
    </xdr:to>
    <xdr:sp macro="" textlink="">
      <xdr:nvSpPr>
        <xdr:cNvPr id="315706" name="Rectangle 27"/>
        <xdr:cNvSpPr>
          <a:spLocks noChangeArrowheads="1"/>
        </xdr:cNvSpPr>
      </xdr:nvSpPr>
      <xdr:spPr bwMode="auto">
        <a:xfrm>
          <a:off x="74333100" y="9172575"/>
          <a:ext cx="190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102</xdr:col>
      <xdr:colOff>0</xdr:colOff>
      <xdr:row>43</xdr:row>
      <xdr:rowOff>0</xdr:rowOff>
    </xdr:from>
    <xdr:to>
      <xdr:col>102</xdr:col>
      <xdr:colOff>19050</xdr:colOff>
      <xdr:row>43</xdr:row>
      <xdr:rowOff>190500</xdr:rowOff>
    </xdr:to>
    <xdr:sp macro="" textlink="">
      <xdr:nvSpPr>
        <xdr:cNvPr id="315707" name="Rectangle 28"/>
        <xdr:cNvSpPr>
          <a:spLocks noChangeArrowheads="1"/>
        </xdr:cNvSpPr>
      </xdr:nvSpPr>
      <xdr:spPr bwMode="auto">
        <a:xfrm>
          <a:off x="74333100" y="9172575"/>
          <a:ext cx="190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102</xdr:col>
      <xdr:colOff>0</xdr:colOff>
      <xdr:row>43</xdr:row>
      <xdr:rowOff>0</xdr:rowOff>
    </xdr:from>
    <xdr:to>
      <xdr:col>102</xdr:col>
      <xdr:colOff>19050</xdr:colOff>
      <xdr:row>43</xdr:row>
      <xdr:rowOff>190500</xdr:rowOff>
    </xdr:to>
    <xdr:sp macro="" textlink="">
      <xdr:nvSpPr>
        <xdr:cNvPr id="315708" name="Rectangle 28"/>
        <xdr:cNvSpPr>
          <a:spLocks noChangeArrowheads="1"/>
        </xdr:cNvSpPr>
      </xdr:nvSpPr>
      <xdr:spPr bwMode="auto">
        <a:xfrm>
          <a:off x="74333100" y="9172575"/>
          <a:ext cx="190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102</xdr:col>
      <xdr:colOff>0</xdr:colOff>
      <xdr:row>43</xdr:row>
      <xdr:rowOff>0</xdr:rowOff>
    </xdr:from>
    <xdr:to>
      <xdr:col>102</xdr:col>
      <xdr:colOff>19050</xdr:colOff>
      <xdr:row>43</xdr:row>
      <xdr:rowOff>190500</xdr:rowOff>
    </xdr:to>
    <xdr:sp macro="" textlink="">
      <xdr:nvSpPr>
        <xdr:cNvPr id="315709" name="Rectangle 28"/>
        <xdr:cNvSpPr>
          <a:spLocks noChangeArrowheads="1"/>
        </xdr:cNvSpPr>
      </xdr:nvSpPr>
      <xdr:spPr bwMode="auto">
        <a:xfrm>
          <a:off x="74333100" y="9172575"/>
          <a:ext cx="190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102</xdr:col>
      <xdr:colOff>0</xdr:colOff>
      <xdr:row>43</xdr:row>
      <xdr:rowOff>0</xdr:rowOff>
    </xdr:from>
    <xdr:to>
      <xdr:col>102</xdr:col>
      <xdr:colOff>19050</xdr:colOff>
      <xdr:row>43</xdr:row>
      <xdr:rowOff>190500</xdr:rowOff>
    </xdr:to>
    <xdr:sp macro="" textlink="">
      <xdr:nvSpPr>
        <xdr:cNvPr id="315710" name="Rectangle 27"/>
        <xdr:cNvSpPr>
          <a:spLocks noChangeArrowheads="1"/>
        </xdr:cNvSpPr>
      </xdr:nvSpPr>
      <xdr:spPr bwMode="auto">
        <a:xfrm>
          <a:off x="74333100" y="9172575"/>
          <a:ext cx="190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102</xdr:col>
      <xdr:colOff>0</xdr:colOff>
      <xdr:row>43</xdr:row>
      <xdr:rowOff>0</xdr:rowOff>
    </xdr:from>
    <xdr:to>
      <xdr:col>102</xdr:col>
      <xdr:colOff>19050</xdr:colOff>
      <xdr:row>43</xdr:row>
      <xdr:rowOff>190500</xdr:rowOff>
    </xdr:to>
    <xdr:sp macro="" textlink="">
      <xdr:nvSpPr>
        <xdr:cNvPr id="315711" name="Rectangle 28"/>
        <xdr:cNvSpPr>
          <a:spLocks noChangeArrowheads="1"/>
        </xdr:cNvSpPr>
      </xdr:nvSpPr>
      <xdr:spPr bwMode="auto">
        <a:xfrm>
          <a:off x="74333100" y="9172575"/>
          <a:ext cx="190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102</xdr:col>
      <xdr:colOff>0</xdr:colOff>
      <xdr:row>43</xdr:row>
      <xdr:rowOff>0</xdr:rowOff>
    </xdr:from>
    <xdr:to>
      <xdr:col>102</xdr:col>
      <xdr:colOff>19050</xdr:colOff>
      <xdr:row>43</xdr:row>
      <xdr:rowOff>190500</xdr:rowOff>
    </xdr:to>
    <xdr:sp macro="" textlink="">
      <xdr:nvSpPr>
        <xdr:cNvPr id="315712" name="Rectangle 28"/>
        <xdr:cNvSpPr>
          <a:spLocks noChangeArrowheads="1"/>
        </xdr:cNvSpPr>
      </xdr:nvSpPr>
      <xdr:spPr bwMode="auto">
        <a:xfrm>
          <a:off x="74333100" y="9172575"/>
          <a:ext cx="190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102</xdr:col>
      <xdr:colOff>0</xdr:colOff>
      <xdr:row>43</xdr:row>
      <xdr:rowOff>0</xdr:rowOff>
    </xdr:from>
    <xdr:to>
      <xdr:col>102</xdr:col>
      <xdr:colOff>19050</xdr:colOff>
      <xdr:row>43</xdr:row>
      <xdr:rowOff>190500</xdr:rowOff>
    </xdr:to>
    <xdr:sp macro="" textlink="">
      <xdr:nvSpPr>
        <xdr:cNvPr id="315713" name="Rectangle 27"/>
        <xdr:cNvSpPr>
          <a:spLocks noChangeArrowheads="1"/>
        </xdr:cNvSpPr>
      </xdr:nvSpPr>
      <xdr:spPr bwMode="auto">
        <a:xfrm>
          <a:off x="74333100" y="9172575"/>
          <a:ext cx="190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102</xdr:col>
      <xdr:colOff>0</xdr:colOff>
      <xdr:row>43</xdr:row>
      <xdr:rowOff>0</xdr:rowOff>
    </xdr:from>
    <xdr:to>
      <xdr:col>102</xdr:col>
      <xdr:colOff>19050</xdr:colOff>
      <xdr:row>43</xdr:row>
      <xdr:rowOff>190500</xdr:rowOff>
    </xdr:to>
    <xdr:sp macro="" textlink="">
      <xdr:nvSpPr>
        <xdr:cNvPr id="315714" name="Rectangle 28"/>
        <xdr:cNvSpPr>
          <a:spLocks noChangeArrowheads="1"/>
        </xdr:cNvSpPr>
      </xdr:nvSpPr>
      <xdr:spPr bwMode="auto">
        <a:xfrm>
          <a:off x="74333100" y="9172575"/>
          <a:ext cx="190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102</xdr:col>
      <xdr:colOff>0</xdr:colOff>
      <xdr:row>43</xdr:row>
      <xdr:rowOff>0</xdr:rowOff>
    </xdr:from>
    <xdr:to>
      <xdr:col>102</xdr:col>
      <xdr:colOff>19050</xdr:colOff>
      <xdr:row>43</xdr:row>
      <xdr:rowOff>190500</xdr:rowOff>
    </xdr:to>
    <xdr:sp macro="" textlink="">
      <xdr:nvSpPr>
        <xdr:cNvPr id="315715" name="Rectangle 28"/>
        <xdr:cNvSpPr>
          <a:spLocks noChangeArrowheads="1"/>
        </xdr:cNvSpPr>
      </xdr:nvSpPr>
      <xdr:spPr bwMode="auto">
        <a:xfrm>
          <a:off x="74333100" y="9172575"/>
          <a:ext cx="190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102</xdr:col>
      <xdr:colOff>0</xdr:colOff>
      <xdr:row>43</xdr:row>
      <xdr:rowOff>0</xdr:rowOff>
    </xdr:from>
    <xdr:to>
      <xdr:col>102</xdr:col>
      <xdr:colOff>19050</xdr:colOff>
      <xdr:row>43</xdr:row>
      <xdr:rowOff>190500</xdr:rowOff>
    </xdr:to>
    <xdr:sp macro="" textlink="">
      <xdr:nvSpPr>
        <xdr:cNvPr id="315716" name="Rectangle 27"/>
        <xdr:cNvSpPr>
          <a:spLocks noChangeArrowheads="1"/>
        </xdr:cNvSpPr>
      </xdr:nvSpPr>
      <xdr:spPr bwMode="auto">
        <a:xfrm>
          <a:off x="74333100" y="9172575"/>
          <a:ext cx="190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102</xdr:col>
      <xdr:colOff>0</xdr:colOff>
      <xdr:row>43</xdr:row>
      <xdr:rowOff>0</xdr:rowOff>
    </xdr:from>
    <xdr:to>
      <xdr:col>102</xdr:col>
      <xdr:colOff>19050</xdr:colOff>
      <xdr:row>43</xdr:row>
      <xdr:rowOff>190500</xdr:rowOff>
    </xdr:to>
    <xdr:sp macro="" textlink="">
      <xdr:nvSpPr>
        <xdr:cNvPr id="315717" name="Rectangle 28"/>
        <xdr:cNvSpPr>
          <a:spLocks noChangeArrowheads="1"/>
        </xdr:cNvSpPr>
      </xdr:nvSpPr>
      <xdr:spPr bwMode="auto">
        <a:xfrm>
          <a:off x="74333100" y="9172575"/>
          <a:ext cx="190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102</xdr:col>
      <xdr:colOff>0</xdr:colOff>
      <xdr:row>43</xdr:row>
      <xdr:rowOff>0</xdr:rowOff>
    </xdr:from>
    <xdr:to>
      <xdr:col>102</xdr:col>
      <xdr:colOff>19050</xdr:colOff>
      <xdr:row>43</xdr:row>
      <xdr:rowOff>190500</xdr:rowOff>
    </xdr:to>
    <xdr:sp macro="" textlink="">
      <xdr:nvSpPr>
        <xdr:cNvPr id="315718" name="Rectangle 27"/>
        <xdr:cNvSpPr>
          <a:spLocks noChangeArrowheads="1"/>
        </xdr:cNvSpPr>
      </xdr:nvSpPr>
      <xdr:spPr bwMode="auto">
        <a:xfrm>
          <a:off x="74333100" y="9172575"/>
          <a:ext cx="190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102</xdr:col>
      <xdr:colOff>0</xdr:colOff>
      <xdr:row>43</xdr:row>
      <xdr:rowOff>0</xdr:rowOff>
    </xdr:from>
    <xdr:to>
      <xdr:col>102</xdr:col>
      <xdr:colOff>19050</xdr:colOff>
      <xdr:row>43</xdr:row>
      <xdr:rowOff>190500</xdr:rowOff>
    </xdr:to>
    <xdr:sp macro="" textlink="">
      <xdr:nvSpPr>
        <xdr:cNvPr id="315719" name="Rectangle 28"/>
        <xdr:cNvSpPr>
          <a:spLocks noChangeArrowheads="1"/>
        </xdr:cNvSpPr>
      </xdr:nvSpPr>
      <xdr:spPr bwMode="auto">
        <a:xfrm>
          <a:off x="74333100" y="9172575"/>
          <a:ext cx="190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102</xdr:col>
      <xdr:colOff>0</xdr:colOff>
      <xdr:row>43</xdr:row>
      <xdr:rowOff>0</xdr:rowOff>
    </xdr:from>
    <xdr:to>
      <xdr:col>102</xdr:col>
      <xdr:colOff>19050</xdr:colOff>
      <xdr:row>43</xdr:row>
      <xdr:rowOff>190500</xdr:rowOff>
    </xdr:to>
    <xdr:sp macro="" textlink="">
      <xdr:nvSpPr>
        <xdr:cNvPr id="315720" name="Rectangle 27"/>
        <xdr:cNvSpPr>
          <a:spLocks noChangeArrowheads="1"/>
        </xdr:cNvSpPr>
      </xdr:nvSpPr>
      <xdr:spPr bwMode="auto">
        <a:xfrm>
          <a:off x="74333100" y="9172575"/>
          <a:ext cx="190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102</xdr:col>
      <xdr:colOff>0</xdr:colOff>
      <xdr:row>43</xdr:row>
      <xdr:rowOff>0</xdr:rowOff>
    </xdr:from>
    <xdr:to>
      <xdr:col>102</xdr:col>
      <xdr:colOff>19050</xdr:colOff>
      <xdr:row>43</xdr:row>
      <xdr:rowOff>190500</xdr:rowOff>
    </xdr:to>
    <xdr:sp macro="" textlink="">
      <xdr:nvSpPr>
        <xdr:cNvPr id="315721" name="Rectangle 27"/>
        <xdr:cNvSpPr>
          <a:spLocks noChangeArrowheads="1"/>
        </xdr:cNvSpPr>
      </xdr:nvSpPr>
      <xdr:spPr bwMode="auto">
        <a:xfrm>
          <a:off x="74333100" y="9172575"/>
          <a:ext cx="190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102</xdr:col>
      <xdr:colOff>0</xdr:colOff>
      <xdr:row>43</xdr:row>
      <xdr:rowOff>0</xdr:rowOff>
    </xdr:from>
    <xdr:to>
      <xdr:col>102</xdr:col>
      <xdr:colOff>19050</xdr:colOff>
      <xdr:row>43</xdr:row>
      <xdr:rowOff>142875</xdr:rowOff>
    </xdr:to>
    <xdr:sp macro="" textlink="">
      <xdr:nvSpPr>
        <xdr:cNvPr id="315722" name="Rectangle 28"/>
        <xdr:cNvSpPr>
          <a:spLocks noChangeArrowheads="1"/>
        </xdr:cNvSpPr>
      </xdr:nvSpPr>
      <xdr:spPr bwMode="auto">
        <a:xfrm>
          <a:off x="74333100" y="9172575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102</xdr:col>
      <xdr:colOff>0</xdr:colOff>
      <xdr:row>43</xdr:row>
      <xdr:rowOff>0</xdr:rowOff>
    </xdr:from>
    <xdr:to>
      <xdr:col>102</xdr:col>
      <xdr:colOff>19050</xdr:colOff>
      <xdr:row>43</xdr:row>
      <xdr:rowOff>142875</xdr:rowOff>
    </xdr:to>
    <xdr:sp macro="" textlink="">
      <xdr:nvSpPr>
        <xdr:cNvPr id="315723" name="Rectangle 28"/>
        <xdr:cNvSpPr>
          <a:spLocks noChangeArrowheads="1"/>
        </xdr:cNvSpPr>
      </xdr:nvSpPr>
      <xdr:spPr bwMode="auto">
        <a:xfrm>
          <a:off x="74333100" y="9172575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102</xdr:col>
      <xdr:colOff>0</xdr:colOff>
      <xdr:row>43</xdr:row>
      <xdr:rowOff>0</xdr:rowOff>
    </xdr:from>
    <xdr:to>
      <xdr:col>102</xdr:col>
      <xdr:colOff>19050</xdr:colOff>
      <xdr:row>43</xdr:row>
      <xdr:rowOff>190500</xdr:rowOff>
    </xdr:to>
    <xdr:sp macro="" textlink="">
      <xdr:nvSpPr>
        <xdr:cNvPr id="315724" name="Rectangle 28"/>
        <xdr:cNvSpPr>
          <a:spLocks noChangeArrowheads="1"/>
        </xdr:cNvSpPr>
      </xdr:nvSpPr>
      <xdr:spPr bwMode="auto">
        <a:xfrm>
          <a:off x="74333100" y="9172575"/>
          <a:ext cx="190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102</xdr:col>
      <xdr:colOff>0</xdr:colOff>
      <xdr:row>3</xdr:row>
      <xdr:rowOff>0</xdr:rowOff>
    </xdr:from>
    <xdr:to>
      <xdr:col>102</xdr:col>
      <xdr:colOff>190500</xdr:colOff>
      <xdr:row>7</xdr:row>
      <xdr:rowOff>123825</xdr:rowOff>
    </xdr:to>
    <xdr:sp macro="" textlink="">
      <xdr:nvSpPr>
        <xdr:cNvPr id="315725" name="Obdélník 1738"/>
        <xdr:cNvSpPr>
          <a:spLocks noChangeArrowheads="1"/>
        </xdr:cNvSpPr>
      </xdr:nvSpPr>
      <xdr:spPr bwMode="auto">
        <a:xfrm>
          <a:off x="74333100" y="1171575"/>
          <a:ext cx="190500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102</xdr:col>
      <xdr:colOff>0</xdr:colOff>
      <xdr:row>43</xdr:row>
      <xdr:rowOff>0</xdr:rowOff>
    </xdr:from>
    <xdr:to>
      <xdr:col>102</xdr:col>
      <xdr:colOff>19050</xdr:colOff>
      <xdr:row>43</xdr:row>
      <xdr:rowOff>142875</xdr:rowOff>
    </xdr:to>
    <xdr:sp macro="" textlink="">
      <xdr:nvSpPr>
        <xdr:cNvPr id="315726" name="Rectangle 28"/>
        <xdr:cNvSpPr>
          <a:spLocks noChangeArrowheads="1"/>
        </xdr:cNvSpPr>
      </xdr:nvSpPr>
      <xdr:spPr bwMode="auto">
        <a:xfrm>
          <a:off x="74333100" y="9172575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102</xdr:col>
      <xdr:colOff>0</xdr:colOff>
      <xdr:row>43</xdr:row>
      <xdr:rowOff>0</xdr:rowOff>
    </xdr:from>
    <xdr:to>
      <xdr:col>102</xdr:col>
      <xdr:colOff>19050</xdr:colOff>
      <xdr:row>43</xdr:row>
      <xdr:rowOff>142875</xdr:rowOff>
    </xdr:to>
    <xdr:sp macro="" textlink="">
      <xdr:nvSpPr>
        <xdr:cNvPr id="315727" name="Rectangle 28"/>
        <xdr:cNvSpPr>
          <a:spLocks noChangeArrowheads="1"/>
        </xdr:cNvSpPr>
      </xdr:nvSpPr>
      <xdr:spPr bwMode="auto">
        <a:xfrm>
          <a:off x="74333100" y="9172575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102</xdr:col>
      <xdr:colOff>0</xdr:colOff>
      <xdr:row>43</xdr:row>
      <xdr:rowOff>0</xdr:rowOff>
    </xdr:from>
    <xdr:to>
      <xdr:col>102</xdr:col>
      <xdr:colOff>19050</xdr:colOff>
      <xdr:row>43</xdr:row>
      <xdr:rowOff>142875</xdr:rowOff>
    </xdr:to>
    <xdr:sp macro="" textlink="">
      <xdr:nvSpPr>
        <xdr:cNvPr id="315728" name="Rectangle 28"/>
        <xdr:cNvSpPr>
          <a:spLocks noChangeArrowheads="1"/>
        </xdr:cNvSpPr>
      </xdr:nvSpPr>
      <xdr:spPr bwMode="auto">
        <a:xfrm>
          <a:off x="74333100" y="9172575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102</xdr:col>
      <xdr:colOff>0</xdr:colOff>
      <xdr:row>43</xdr:row>
      <xdr:rowOff>0</xdr:rowOff>
    </xdr:from>
    <xdr:to>
      <xdr:col>102</xdr:col>
      <xdr:colOff>19050</xdr:colOff>
      <xdr:row>43</xdr:row>
      <xdr:rowOff>142875</xdr:rowOff>
    </xdr:to>
    <xdr:sp macro="" textlink="">
      <xdr:nvSpPr>
        <xdr:cNvPr id="315729" name="Rectangle 27"/>
        <xdr:cNvSpPr>
          <a:spLocks noChangeArrowheads="1"/>
        </xdr:cNvSpPr>
      </xdr:nvSpPr>
      <xdr:spPr bwMode="auto">
        <a:xfrm>
          <a:off x="74333100" y="9172575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102</xdr:col>
      <xdr:colOff>0</xdr:colOff>
      <xdr:row>43</xdr:row>
      <xdr:rowOff>0</xdr:rowOff>
    </xdr:from>
    <xdr:to>
      <xdr:col>102</xdr:col>
      <xdr:colOff>19050</xdr:colOff>
      <xdr:row>43</xdr:row>
      <xdr:rowOff>142875</xdr:rowOff>
    </xdr:to>
    <xdr:sp macro="" textlink="">
      <xdr:nvSpPr>
        <xdr:cNvPr id="315730" name="Rectangle 28"/>
        <xdr:cNvSpPr>
          <a:spLocks noChangeArrowheads="1"/>
        </xdr:cNvSpPr>
      </xdr:nvSpPr>
      <xdr:spPr bwMode="auto">
        <a:xfrm>
          <a:off x="74333100" y="9172575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102</xdr:col>
      <xdr:colOff>0</xdr:colOff>
      <xdr:row>43</xdr:row>
      <xdr:rowOff>0</xdr:rowOff>
    </xdr:from>
    <xdr:to>
      <xdr:col>102</xdr:col>
      <xdr:colOff>19050</xdr:colOff>
      <xdr:row>43</xdr:row>
      <xdr:rowOff>142875</xdr:rowOff>
    </xdr:to>
    <xdr:sp macro="" textlink="">
      <xdr:nvSpPr>
        <xdr:cNvPr id="315731" name="Rectangle 27"/>
        <xdr:cNvSpPr>
          <a:spLocks noChangeArrowheads="1"/>
        </xdr:cNvSpPr>
      </xdr:nvSpPr>
      <xdr:spPr bwMode="auto">
        <a:xfrm>
          <a:off x="74333100" y="9172575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102</xdr:col>
      <xdr:colOff>0</xdr:colOff>
      <xdr:row>43</xdr:row>
      <xdr:rowOff>0</xdr:rowOff>
    </xdr:from>
    <xdr:to>
      <xdr:col>102</xdr:col>
      <xdr:colOff>19050</xdr:colOff>
      <xdr:row>43</xdr:row>
      <xdr:rowOff>142875</xdr:rowOff>
    </xdr:to>
    <xdr:sp macro="" textlink="">
      <xdr:nvSpPr>
        <xdr:cNvPr id="315732" name="Rectangle 28"/>
        <xdr:cNvSpPr>
          <a:spLocks noChangeArrowheads="1"/>
        </xdr:cNvSpPr>
      </xdr:nvSpPr>
      <xdr:spPr bwMode="auto">
        <a:xfrm>
          <a:off x="74333100" y="9172575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102</xdr:col>
      <xdr:colOff>0</xdr:colOff>
      <xdr:row>43</xdr:row>
      <xdr:rowOff>0</xdr:rowOff>
    </xdr:from>
    <xdr:to>
      <xdr:col>102</xdr:col>
      <xdr:colOff>19050</xdr:colOff>
      <xdr:row>43</xdr:row>
      <xdr:rowOff>142875</xdr:rowOff>
    </xdr:to>
    <xdr:sp macro="" textlink="">
      <xdr:nvSpPr>
        <xdr:cNvPr id="315733" name="Rectangle 28"/>
        <xdr:cNvSpPr>
          <a:spLocks noChangeArrowheads="1"/>
        </xdr:cNvSpPr>
      </xdr:nvSpPr>
      <xdr:spPr bwMode="auto">
        <a:xfrm>
          <a:off x="74333100" y="9172575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102</xdr:col>
      <xdr:colOff>0</xdr:colOff>
      <xdr:row>43</xdr:row>
      <xdr:rowOff>0</xdr:rowOff>
    </xdr:from>
    <xdr:to>
      <xdr:col>102</xdr:col>
      <xdr:colOff>19050</xdr:colOff>
      <xdr:row>43</xdr:row>
      <xdr:rowOff>142875</xdr:rowOff>
    </xdr:to>
    <xdr:sp macro="" textlink="">
      <xdr:nvSpPr>
        <xdr:cNvPr id="315734" name="Rectangle 28"/>
        <xdr:cNvSpPr>
          <a:spLocks noChangeArrowheads="1"/>
        </xdr:cNvSpPr>
      </xdr:nvSpPr>
      <xdr:spPr bwMode="auto">
        <a:xfrm>
          <a:off x="74333100" y="9172575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102</xdr:col>
      <xdr:colOff>0</xdr:colOff>
      <xdr:row>43</xdr:row>
      <xdr:rowOff>0</xdr:rowOff>
    </xdr:from>
    <xdr:to>
      <xdr:col>102</xdr:col>
      <xdr:colOff>19050</xdr:colOff>
      <xdr:row>43</xdr:row>
      <xdr:rowOff>142875</xdr:rowOff>
    </xdr:to>
    <xdr:sp macro="" textlink="">
      <xdr:nvSpPr>
        <xdr:cNvPr id="315735" name="Rectangle 28"/>
        <xdr:cNvSpPr>
          <a:spLocks noChangeArrowheads="1"/>
        </xdr:cNvSpPr>
      </xdr:nvSpPr>
      <xdr:spPr bwMode="auto">
        <a:xfrm>
          <a:off x="74333100" y="9172575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102</xdr:col>
      <xdr:colOff>0</xdr:colOff>
      <xdr:row>43</xdr:row>
      <xdr:rowOff>0</xdr:rowOff>
    </xdr:from>
    <xdr:to>
      <xdr:col>102</xdr:col>
      <xdr:colOff>19050</xdr:colOff>
      <xdr:row>43</xdr:row>
      <xdr:rowOff>142875</xdr:rowOff>
    </xdr:to>
    <xdr:sp macro="" textlink="">
      <xdr:nvSpPr>
        <xdr:cNvPr id="315736" name="Rectangle 27"/>
        <xdr:cNvSpPr>
          <a:spLocks noChangeArrowheads="1"/>
        </xdr:cNvSpPr>
      </xdr:nvSpPr>
      <xdr:spPr bwMode="auto">
        <a:xfrm>
          <a:off x="74333100" y="9172575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102</xdr:col>
      <xdr:colOff>0</xdr:colOff>
      <xdr:row>43</xdr:row>
      <xdr:rowOff>0</xdr:rowOff>
    </xdr:from>
    <xdr:to>
      <xdr:col>102</xdr:col>
      <xdr:colOff>19050</xdr:colOff>
      <xdr:row>43</xdr:row>
      <xdr:rowOff>142875</xdr:rowOff>
    </xdr:to>
    <xdr:sp macro="" textlink="">
      <xdr:nvSpPr>
        <xdr:cNvPr id="315737" name="Rectangle 27"/>
        <xdr:cNvSpPr>
          <a:spLocks noChangeArrowheads="1"/>
        </xdr:cNvSpPr>
      </xdr:nvSpPr>
      <xdr:spPr bwMode="auto">
        <a:xfrm>
          <a:off x="74333100" y="9172575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102</xdr:col>
      <xdr:colOff>0</xdr:colOff>
      <xdr:row>43</xdr:row>
      <xdr:rowOff>0</xdr:rowOff>
    </xdr:from>
    <xdr:to>
      <xdr:col>102</xdr:col>
      <xdr:colOff>19050</xdr:colOff>
      <xdr:row>43</xdr:row>
      <xdr:rowOff>142875</xdr:rowOff>
    </xdr:to>
    <xdr:sp macro="" textlink="">
      <xdr:nvSpPr>
        <xdr:cNvPr id="315738" name="Rectangle 28"/>
        <xdr:cNvSpPr>
          <a:spLocks noChangeArrowheads="1"/>
        </xdr:cNvSpPr>
      </xdr:nvSpPr>
      <xdr:spPr bwMode="auto">
        <a:xfrm>
          <a:off x="74333100" y="9172575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102</xdr:col>
      <xdr:colOff>0</xdr:colOff>
      <xdr:row>43</xdr:row>
      <xdr:rowOff>0</xdr:rowOff>
    </xdr:from>
    <xdr:to>
      <xdr:col>102</xdr:col>
      <xdr:colOff>19050</xdr:colOff>
      <xdr:row>43</xdr:row>
      <xdr:rowOff>142875</xdr:rowOff>
    </xdr:to>
    <xdr:sp macro="" textlink="">
      <xdr:nvSpPr>
        <xdr:cNvPr id="315739" name="Rectangle 28"/>
        <xdr:cNvSpPr>
          <a:spLocks noChangeArrowheads="1"/>
        </xdr:cNvSpPr>
      </xdr:nvSpPr>
      <xdr:spPr bwMode="auto">
        <a:xfrm>
          <a:off x="74333100" y="9172575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102</xdr:col>
      <xdr:colOff>0</xdr:colOff>
      <xdr:row>43</xdr:row>
      <xdr:rowOff>0</xdr:rowOff>
    </xdr:from>
    <xdr:to>
      <xdr:col>102</xdr:col>
      <xdr:colOff>19050</xdr:colOff>
      <xdr:row>43</xdr:row>
      <xdr:rowOff>142875</xdr:rowOff>
    </xdr:to>
    <xdr:sp macro="" textlink="">
      <xdr:nvSpPr>
        <xdr:cNvPr id="315740" name="Rectangle 28"/>
        <xdr:cNvSpPr>
          <a:spLocks noChangeArrowheads="1"/>
        </xdr:cNvSpPr>
      </xdr:nvSpPr>
      <xdr:spPr bwMode="auto">
        <a:xfrm>
          <a:off x="74333100" y="9172575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102</xdr:col>
      <xdr:colOff>0</xdr:colOff>
      <xdr:row>43</xdr:row>
      <xdr:rowOff>0</xdr:rowOff>
    </xdr:from>
    <xdr:to>
      <xdr:col>102</xdr:col>
      <xdr:colOff>19050</xdr:colOff>
      <xdr:row>43</xdr:row>
      <xdr:rowOff>142875</xdr:rowOff>
    </xdr:to>
    <xdr:sp macro="" textlink="">
      <xdr:nvSpPr>
        <xdr:cNvPr id="315741" name="Rectangle 27"/>
        <xdr:cNvSpPr>
          <a:spLocks noChangeArrowheads="1"/>
        </xdr:cNvSpPr>
      </xdr:nvSpPr>
      <xdr:spPr bwMode="auto">
        <a:xfrm>
          <a:off x="74333100" y="9172575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102</xdr:col>
      <xdr:colOff>0</xdr:colOff>
      <xdr:row>43</xdr:row>
      <xdr:rowOff>0</xdr:rowOff>
    </xdr:from>
    <xdr:to>
      <xdr:col>102</xdr:col>
      <xdr:colOff>19050</xdr:colOff>
      <xdr:row>43</xdr:row>
      <xdr:rowOff>142875</xdr:rowOff>
    </xdr:to>
    <xdr:sp macro="" textlink="">
      <xdr:nvSpPr>
        <xdr:cNvPr id="315742" name="Rectangle 27"/>
        <xdr:cNvSpPr>
          <a:spLocks noChangeArrowheads="1"/>
        </xdr:cNvSpPr>
      </xdr:nvSpPr>
      <xdr:spPr bwMode="auto">
        <a:xfrm>
          <a:off x="74333100" y="9172575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102</xdr:col>
      <xdr:colOff>0</xdr:colOff>
      <xdr:row>43</xdr:row>
      <xdr:rowOff>0</xdr:rowOff>
    </xdr:from>
    <xdr:to>
      <xdr:col>102</xdr:col>
      <xdr:colOff>19050</xdr:colOff>
      <xdr:row>43</xdr:row>
      <xdr:rowOff>142875</xdr:rowOff>
    </xdr:to>
    <xdr:sp macro="" textlink="">
      <xdr:nvSpPr>
        <xdr:cNvPr id="315743" name="Rectangle 28"/>
        <xdr:cNvSpPr>
          <a:spLocks noChangeArrowheads="1"/>
        </xdr:cNvSpPr>
      </xdr:nvSpPr>
      <xdr:spPr bwMode="auto">
        <a:xfrm>
          <a:off x="74333100" y="9172575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102</xdr:col>
      <xdr:colOff>0</xdr:colOff>
      <xdr:row>43</xdr:row>
      <xdr:rowOff>0</xdr:rowOff>
    </xdr:from>
    <xdr:to>
      <xdr:col>102</xdr:col>
      <xdr:colOff>19050</xdr:colOff>
      <xdr:row>43</xdr:row>
      <xdr:rowOff>142875</xdr:rowOff>
    </xdr:to>
    <xdr:sp macro="" textlink="">
      <xdr:nvSpPr>
        <xdr:cNvPr id="315744" name="Rectangle 28"/>
        <xdr:cNvSpPr>
          <a:spLocks noChangeArrowheads="1"/>
        </xdr:cNvSpPr>
      </xdr:nvSpPr>
      <xdr:spPr bwMode="auto">
        <a:xfrm>
          <a:off x="74333100" y="9172575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102</xdr:col>
      <xdr:colOff>0</xdr:colOff>
      <xdr:row>43</xdr:row>
      <xdr:rowOff>0</xdr:rowOff>
    </xdr:from>
    <xdr:to>
      <xdr:col>102</xdr:col>
      <xdr:colOff>19050</xdr:colOff>
      <xdr:row>43</xdr:row>
      <xdr:rowOff>142875</xdr:rowOff>
    </xdr:to>
    <xdr:sp macro="" textlink="">
      <xdr:nvSpPr>
        <xdr:cNvPr id="315745" name="Rectangle 28"/>
        <xdr:cNvSpPr>
          <a:spLocks noChangeArrowheads="1"/>
        </xdr:cNvSpPr>
      </xdr:nvSpPr>
      <xdr:spPr bwMode="auto">
        <a:xfrm>
          <a:off x="74333100" y="9172575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102</xdr:col>
      <xdr:colOff>0</xdr:colOff>
      <xdr:row>43</xdr:row>
      <xdr:rowOff>0</xdr:rowOff>
    </xdr:from>
    <xdr:to>
      <xdr:col>102</xdr:col>
      <xdr:colOff>19050</xdr:colOff>
      <xdr:row>43</xdr:row>
      <xdr:rowOff>142875</xdr:rowOff>
    </xdr:to>
    <xdr:sp macro="" textlink="">
      <xdr:nvSpPr>
        <xdr:cNvPr id="315746" name="Rectangle 28"/>
        <xdr:cNvSpPr>
          <a:spLocks noChangeArrowheads="1"/>
        </xdr:cNvSpPr>
      </xdr:nvSpPr>
      <xdr:spPr bwMode="auto">
        <a:xfrm>
          <a:off x="74333100" y="9172575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102</xdr:col>
      <xdr:colOff>0</xdr:colOff>
      <xdr:row>43</xdr:row>
      <xdr:rowOff>0</xdr:rowOff>
    </xdr:from>
    <xdr:to>
      <xdr:col>102</xdr:col>
      <xdr:colOff>19050</xdr:colOff>
      <xdr:row>43</xdr:row>
      <xdr:rowOff>142875</xdr:rowOff>
    </xdr:to>
    <xdr:sp macro="" textlink="">
      <xdr:nvSpPr>
        <xdr:cNvPr id="315747" name="Rectangle 28"/>
        <xdr:cNvSpPr>
          <a:spLocks noChangeArrowheads="1"/>
        </xdr:cNvSpPr>
      </xdr:nvSpPr>
      <xdr:spPr bwMode="auto">
        <a:xfrm>
          <a:off x="74333100" y="9172575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102</xdr:col>
      <xdr:colOff>0</xdr:colOff>
      <xdr:row>43</xdr:row>
      <xdr:rowOff>0</xdr:rowOff>
    </xdr:from>
    <xdr:to>
      <xdr:col>102</xdr:col>
      <xdr:colOff>19050</xdr:colOff>
      <xdr:row>43</xdr:row>
      <xdr:rowOff>142875</xdr:rowOff>
    </xdr:to>
    <xdr:sp macro="" textlink="">
      <xdr:nvSpPr>
        <xdr:cNvPr id="315748" name="Rectangle 27"/>
        <xdr:cNvSpPr>
          <a:spLocks noChangeArrowheads="1"/>
        </xdr:cNvSpPr>
      </xdr:nvSpPr>
      <xdr:spPr bwMode="auto">
        <a:xfrm>
          <a:off x="74333100" y="9172575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102</xdr:col>
      <xdr:colOff>0</xdr:colOff>
      <xdr:row>43</xdr:row>
      <xdr:rowOff>0</xdr:rowOff>
    </xdr:from>
    <xdr:to>
      <xdr:col>102</xdr:col>
      <xdr:colOff>19050</xdr:colOff>
      <xdr:row>43</xdr:row>
      <xdr:rowOff>142875</xdr:rowOff>
    </xdr:to>
    <xdr:sp macro="" textlink="">
      <xdr:nvSpPr>
        <xdr:cNvPr id="315749" name="Rectangle 28"/>
        <xdr:cNvSpPr>
          <a:spLocks noChangeArrowheads="1"/>
        </xdr:cNvSpPr>
      </xdr:nvSpPr>
      <xdr:spPr bwMode="auto">
        <a:xfrm>
          <a:off x="74333100" y="9172575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102</xdr:col>
      <xdr:colOff>0</xdr:colOff>
      <xdr:row>43</xdr:row>
      <xdr:rowOff>0</xdr:rowOff>
    </xdr:from>
    <xdr:to>
      <xdr:col>102</xdr:col>
      <xdr:colOff>19050</xdr:colOff>
      <xdr:row>43</xdr:row>
      <xdr:rowOff>142875</xdr:rowOff>
    </xdr:to>
    <xdr:sp macro="" textlink="">
      <xdr:nvSpPr>
        <xdr:cNvPr id="315750" name="Rectangle 27"/>
        <xdr:cNvSpPr>
          <a:spLocks noChangeArrowheads="1"/>
        </xdr:cNvSpPr>
      </xdr:nvSpPr>
      <xdr:spPr bwMode="auto">
        <a:xfrm>
          <a:off x="74333100" y="9172575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102</xdr:col>
      <xdr:colOff>0</xdr:colOff>
      <xdr:row>43</xdr:row>
      <xdr:rowOff>0</xdr:rowOff>
    </xdr:from>
    <xdr:to>
      <xdr:col>102</xdr:col>
      <xdr:colOff>19050</xdr:colOff>
      <xdr:row>43</xdr:row>
      <xdr:rowOff>142875</xdr:rowOff>
    </xdr:to>
    <xdr:sp macro="" textlink="">
      <xdr:nvSpPr>
        <xdr:cNvPr id="315751" name="Rectangle 28"/>
        <xdr:cNvSpPr>
          <a:spLocks noChangeArrowheads="1"/>
        </xdr:cNvSpPr>
      </xdr:nvSpPr>
      <xdr:spPr bwMode="auto">
        <a:xfrm>
          <a:off x="74333100" y="9172575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102</xdr:col>
      <xdr:colOff>0</xdr:colOff>
      <xdr:row>43</xdr:row>
      <xdr:rowOff>0</xdr:rowOff>
    </xdr:from>
    <xdr:to>
      <xdr:col>102</xdr:col>
      <xdr:colOff>19050</xdr:colOff>
      <xdr:row>43</xdr:row>
      <xdr:rowOff>142875</xdr:rowOff>
    </xdr:to>
    <xdr:sp macro="" textlink="">
      <xdr:nvSpPr>
        <xdr:cNvPr id="315752" name="Rectangle 28"/>
        <xdr:cNvSpPr>
          <a:spLocks noChangeArrowheads="1"/>
        </xdr:cNvSpPr>
      </xdr:nvSpPr>
      <xdr:spPr bwMode="auto">
        <a:xfrm>
          <a:off x="74333100" y="9172575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102</xdr:col>
      <xdr:colOff>0</xdr:colOff>
      <xdr:row>43</xdr:row>
      <xdr:rowOff>0</xdr:rowOff>
    </xdr:from>
    <xdr:to>
      <xdr:col>102</xdr:col>
      <xdr:colOff>19050</xdr:colOff>
      <xdr:row>43</xdr:row>
      <xdr:rowOff>142875</xdr:rowOff>
    </xdr:to>
    <xdr:sp macro="" textlink="">
      <xdr:nvSpPr>
        <xdr:cNvPr id="315753" name="Rectangle 28"/>
        <xdr:cNvSpPr>
          <a:spLocks noChangeArrowheads="1"/>
        </xdr:cNvSpPr>
      </xdr:nvSpPr>
      <xdr:spPr bwMode="auto">
        <a:xfrm>
          <a:off x="74333100" y="9172575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102</xdr:col>
      <xdr:colOff>0</xdr:colOff>
      <xdr:row>43</xdr:row>
      <xdr:rowOff>0</xdr:rowOff>
    </xdr:from>
    <xdr:to>
      <xdr:col>102</xdr:col>
      <xdr:colOff>19050</xdr:colOff>
      <xdr:row>43</xdr:row>
      <xdr:rowOff>142875</xdr:rowOff>
    </xdr:to>
    <xdr:sp macro="" textlink="">
      <xdr:nvSpPr>
        <xdr:cNvPr id="315754" name="Rectangle 28"/>
        <xdr:cNvSpPr>
          <a:spLocks noChangeArrowheads="1"/>
        </xdr:cNvSpPr>
      </xdr:nvSpPr>
      <xdr:spPr bwMode="auto">
        <a:xfrm>
          <a:off x="74333100" y="9172575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102</xdr:col>
      <xdr:colOff>0</xdr:colOff>
      <xdr:row>43</xdr:row>
      <xdr:rowOff>0</xdr:rowOff>
    </xdr:from>
    <xdr:to>
      <xdr:col>102</xdr:col>
      <xdr:colOff>19050</xdr:colOff>
      <xdr:row>43</xdr:row>
      <xdr:rowOff>142875</xdr:rowOff>
    </xdr:to>
    <xdr:sp macro="" textlink="">
      <xdr:nvSpPr>
        <xdr:cNvPr id="315755" name="Rectangle 27"/>
        <xdr:cNvSpPr>
          <a:spLocks noChangeArrowheads="1"/>
        </xdr:cNvSpPr>
      </xdr:nvSpPr>
      <xdr:spPr bwMode="auto">
        <a:xfrm>
          <a:off x="74333100" y="9172575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102</xdr:col>
      <xdr:colOff>0</xdr:colOff>
      <xdr:row>43</xdr:row>
      <xdr:rowOff>0</xdr:rowOff>
    </xdr:from>
    <xdr:to>
      <xdr:col>102</xdr:col>
      <xdr:colOff>19050</xdr:colOff>
      <xdr:row>43</xdr:row>
      <xdr:rowOff>142875</xdr:rowOff>
    </xdr:to>
    <xdr:sp macro="" textlink="">
      <xdr:nvSpPr>
        <xdr:cNvPr id="315756" name="Rectangle 27"/>
        <xdr:cNvSpPr>
          <a:spLocks noChangeArrowheads="1"/>
        </xdr:cNvSpPr>
      </xdr:nvSpPr>
      <xdr:spPr bwMode="auto">
        <a:xfrm>
          <a:off x="74333100" y="9172575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102</xdr:col>
      <xdr:colOff>0</xdr:colOff>
      <xdr:row>43</xdr:row>
      <xdr:rowOff>0</xdr:rowOff>
    </xdr:from>
    <xdr:to>
      <xdr:col>102</xdr:col>
      <xdr:colOff>19050</xdr:colOff>
      <xdr:row>43</xdr:row>
      <xdr:rowOff>142875</xdr:rowOff>
    </xdr:to>
    <xdr:sp macro="" textlink="">
      <xdr:nvSpPr>
        <xdr:cNvPr id="315757" name="Rectangle 28"/>
        <xdr:cNvSpPr>
          <a:spLocks noChangeArrowheads="1"/>
        </xdr:cNvSpPr>
      </xdr:nvSpPr>
      <xdr:spPr bwMode="auto">
        <a:xfrm>
          <a:off x="74333100" y="9172575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102</xdr:col>
      <xdr:colOff>0</xdr:colOff>
      <xdr:row>43</xdr:row>
      <xdr:rowOff>0</xdr:rowOff>
    </xdr:from>
    <xdr:to>
      <xdr:col>102</xdr:col>
      <xdr:colOff>19050</xdr:colOff>
      <xdr:row>43</xdr:row>
      <xdr:rowOff>142875</xdr:rowOff>
    </xdr:to>
    <xdr:sp macro="" textlink="">
      <xdr:nvSpPr>
        <xdr:cNvPr id="315758" name="Rectangle 28"/>
        <xdr:cNvSpPr>
          <a:spLocks noChangeArrowheads="1"/>
        </xdr:cNvSpPr>
      </xdr:nvSpPr>
      <xdr:spPr bwMode="auto">
        <a:xfrm>
          <a:off x="74333100" y="9172575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102</xdr:col>
      <xdr:colOff>0</xdr:colOff>
      <xdr:row>43</xdr:row>
      <xdr:rowOff>0</xdr:rowOff>
    </xdr:from>
    <xdr:to>
      <xdr:col>102</xdr:col>
      <xdr:colOff>19050</xdr:colOff>
      <xdr:row>43</xdr:row>
      <xdr:rowOff>142875</xdr:rowOff>
    </xdr:to>
    <xdr:sp macro="" textlink="">
      <xdr:nvSpPr>
        <xdr:cNvPr id="315759" name="Rectangle 28"/>
        <xdr:cNvSpPr>
          <a:spLocks noChangeArrowheads="1"/>
        </xdr:cNvSpPr>
      </xdr:nvSpPr>
      <xdr:spPr bwMode="auto">
        <a:xfrm>
          <a:off x="74333100" y="9172575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102</xdr:col>
      <xdr:colOff>0</xdr:colOff>
      <xdr:row>43</xdr:row>
      <xdr:rowOff>0</xdr:rowOff>
    </xdr:from>
    <xdr:to>
      <xdr:col>102</xdr:col>
      <xdr:colOff>19050</xdr:colOff>
      <xdr:row>43</xdr:row>
      <xdr:rowOff>142875</xdr:rowOff>
    </xdr:to>
    <xdr:sp macro="" textlink="">
      <xdr:nvSpPr>
        <xdr:cNvPr id="315760" name="Rectangle 27"/>
        <xdr:cNvSpPr>
          <a:spLocks noChangeArrowheads="1"/>
        </xdr:cNvSpPr>
      </xdr:nvSpPr>
      <xdr:spPr bwMode="auto">
        <a:xfrm>
          <a:off x="74333100" y="9172575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102</xdr:col>
      <xdr:colOff>0</xdr:colOff>
      <xdr:row>43</xdr:row>
      <xdr:rowOff>0</xdr:rowOff>
    </xdr:from>
    <xdr:to>
      <xdr:col>102</xdr:col>
      <xdr:colOff>19050</xdr:colOff>
      <xdr:row>43</xdr:row>
      <xdr:rowOff>142875</xdr:rowOff>
    </xdr:to>
    <xdr:sp macro="" textlink="">
      <xdr:nvSpPr>
        <xdr:cNvPr id="315761" name="Rectangle 27"/>
        <xdr:cNvSpPr>
          <a:spLocks noChangeArrowheads="1"/>
        </xdr:cNvSpPr>
      </xdr:nvSpPr>
      <xdr:spPr bwMode="auto">
        <a:xfrm>
          <a:off x="74333100" y="9172575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102</xdr:col>
      <xdr:colOff>0</xdr:colOff>
      <xdr:row>43</xdr:row>
      <xdr:rowOff>0</xdr:rowOff>
    </xdr:from>
    <xdr:to>
      <xdr:col>102</xdr:col>
      <xdr:colOff>19050</xdr:colOff>
      <xdr:row>43</xdr:row>
      <xdr:rowOff>142875</xdr:rowOff>
    </xdr:to>
    <xdr:sp macro="" textlink="">
      <xdr:nvSpPr>
        <xdr:cNvPr id="315762" name="Rectangle 28"/>
        <xdr:cNvSpPr>
          <a:spLocks noChangeArrowheads="1"/>
        </xdr:cNvSpPr>
      </xdr:nvSpPr>
      <xdr:spPr bwMode="auto">
        <a:xfrm>
          <a:off x="74333100" y="9172575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102</xdr:col>
      <xdr:colOff>0</xdr:colOff>
      <xdr:row>43</xdr:row>
      <xdr:rowOff>0</xdr:rowOff>
    </xdr:from>
    <xdr:to>
      <xdr:col>102</xdr:col>
      <xdr:colOff>19050</xdr:colOff>
      <xdr:row>43</xdr:row>
      <xdr:rowOff>142875</xdr:rowOff>
    </xdr:to>
    <xdr:sp macro="" textlink="">
      <xdr:nvSpPr>
        <xdr:cNvPr id="315763" name="Rectangle 28"/>
        <xdr:cNvSpPr>
          <a:spLocks noChangeArrowheads="1"/>
        </xdr:cNvSpPr>
      </xdr:nvSpPr>
      <xdr:spPr bwMode="auto">
        <a:xfrm>
          <a:off x="74333100" y="9172575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102</xdr:col>
      <xdr:colOff>0</xdr:colOff>
      <xdr:row>3</xdr:row>
      <xdr:rowOff>0</xdr:rowOff>
    </xdr:from>
    <xdr:to>
      <xdr:col>102</xdr:col>
      <xdr:colOff>190500</xdr:colOff>
      <xdr:row>7</xdr:row>
      <xdr:rowOff>123825</xdr:rowOff>
    </xdr:to>
    <xdr:sp macro="" textlink="">
      <xdr:nvSpPr>
        <xdr:cNvPr id="315764" name="Obdélník 1777"/>
        <xdr:cNvSpPr>
          <a:spLocks noChangeArrowheads="1"/>
        </xdr:cNvSpPr>
      </xdr:nvSpPr>
      <xdr:spPr bwMode="auto">
        <a:xfrm>
          <a:off x="74333100" y="1171575"/>
          <a:ext cx="190500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102</xdr:col>
      <xdr:colOff>0</xdr:colOff>
      <xdr:row>43</xdr:row>
      <xdr:rowOff>0</xdr:rowOff>
    </xdr:from>
    <xdr:to>
      <xdr:col>102</xdr:col>
      <xdr:colOff>19050</xdr:colOff>
      <xdr:row>43</xdr:row>
      <xdr:rowOff>142875</xdr:rowOff>
    </xdr:to>
    <xdr:sp macro="" textlink="">
      <xdr:nvSpPr>
        <xdr:cNvPr id="315765" name="Rectangle 28"/>
        <xdr:cNvSpPr>
          <a:spLocks noChangeArrowheads="1"/>
        </xdr:cNvSpPr>
      </xdr:nvSpPr>
      <xdr:spPr bwMode="auto">
        <a:xfrm>
          <a:off x="74333100" y="9172575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102</xdr:col>
      <xdr:colOff>0</xdr:colOff>
      <xdr:row>43</xdr:row>
      <xdr:rowOff>0</xdr:rowOff>
    </xdr:from>
    <xdr:to>
      <xdr:col>102</xdr:col>
      <xdr:colOff>19050</xdr:colOff>
      <xdr:row>43</xdr:row>
      <xdr:rowOff>142875</xdr:rowOff>
    </xdr:to>
    <xdr:sp macro="" textlink="">
      <xdr:nvSpPr>
        <xdr:cNvPr id="315766" name="Rectangle 28"/>
        <xdr:cNvSpPr>
          <a:spLocks noChangeArrowheads="1"/>
        </xdr:cNvSpPr>
      </xdr:nvSpPr>
      <xdr:spPr bwMode="auto">
        <a:xfrm>
          <a:off x="74333100" y="9172575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102</xdr:col>
      <xdr:colOff>0</xdr:colOff>
      <xdr:row>43</xdr:row>
      <xdr:rowOff>0</xdr:rowOff>
    </xdr:from>
    <xdr:to>
      <xdr:col>102</xdr:col>
      <xdr:colOff>19050</xdr:colOff>
      <xdr:row>43</xdr:row>
      <xdr:rowOff>142875</xdr:rowOff>
    </xdr:to>
    <xdr:sp macro="" textlink="">
      <xdr:nvSpPr>
        <xdr:cNvPr id="315767" name="Rectangle 28"/>
        <xdr:cNvSpPr>
          <a:spLocks noChangeArrowheads="1"/>
        </xdr:cNvSpPr>
      </xdr:nvSpPr>
      <xdr:spPr bwMode="auto">
        <a:xfrm>
          <a:off x="74333100" y="9172575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102</xdr:col>
      <xdr:colOff>0</xdr:colOff>
      <xdr:row>43</xdr:row>
      <xdr:rowOff>0</xdr:rowOff>
    </xdr:from>
    <xdr:to>
      <xdr:col>102</xdr:col>
      <xdr:colOff>19050</xdr:colOff>
      <xdr:row>43</xdr:row>
      <xdr:rowOff>142875</xdr:rowOff>
    </xdr:to>
    <xdr:sp macro="" textlink="">
      <xdr:nvSpPr>
        <xdr:cNvPr id="315768" name="Rectangle 27"/>
        <xdr:cNvSpPr>
          <a:spLocks noChangeArrowheads="1"/>
        </xdr:cNvSpPr>
      </xdr:nvSpPr>
      <xdr:spPr bwMode="auto">
        <a:xfrm>
          <a:off x="74333100" y="9172575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102</xdr:col>
      <xdr:colOff>0</xdr:colOff>
      <xdr:row>43</xdr:row>
      <xdr:rowOff>0</xdr:rowOff>
    </xdr:from>
    <xdr:to>
      <xdr:col>102</xdr:col>
      <xdr:colOff>19050</xdr:colOff>
      <xdr:row>43</xdr:row>
      <xdr:rowOff>142875</xdr:rowOff>
    </xdr:to>
    <xdr:sp macro="" textlink="">
      <xdr:nvSpPr>
        <xdr:cNvPr id="315769" name="Rectangle 28"/>
        <xdr:cNvSpPr>
          <a:spLocks noChangeArrowheads="1"/>
        </xdr:cNvSpPr>
      </xdr:nvSpPr>
      <xdr:spPr bwMode="auto">
        <a:xfrm>
          <a:off x="74333100" y="9172575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102</xdr:col>
      <xdr:colOff>0</xdr:colOff>
      <xdr:row>43</xdr:row>
      <xdr:rowOff>0</xdr:rowOff>
    </xdr:from>
    <xdr:to>
      <xdr:col>102</xdr:col>
      <xdr:colOff>19050</xdr:colOff>
      <xdr:row>43</xdr:row>
      <xdr:rowOff>142875</xdr:rowOff>
    </xdr:to>
    <xdr:sp macro="" textlink="">
      <xdr:nvSpPr>
        <xdr:cNvPr id="315770" name="Rectangle 27"/>
        <xdr:cNvSpPr>
          <a:spLocks noChangeArrowheads="1"/>
        </xdr:cNvSpPr>
      </xdr:nvSpPr>
      <xdr:spPr bwMode="auto">
        <a:xfrm>
          <a:off x="74333100" y="9172575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102</xdr:col>
      <xdr:colOff>0</xdr:colOff>
      <xdr:row>43</xdr:row>
      <xdr:rowOff>0</xdr:rowOff>
    </xdr:from>
    <xdr:to>
      <xdr:col>102</xdr:col>
      <xdr:colOff>19050</xdr:colOff>
      <xdr:row>43</xdr:row>
      <xdr:rowOff>142875</xdr:rowOff>
    </xdr:to>
    <xdr:sp macro="" textlink="">
      <xdr:nvSpPr>
        <xdr:cNvPr id="315771" name="Rectangle 28"/>
        <xdr:cNvSpPr>
          <a:spLocks noChangeArrowheads="1"/>
        </xdr:cNvSpPr>
      </xdr:nvSpPr>
      <xdr:spPr bwMode="auto">
        <a:xfrm>
          <a:off x="74333100" y="9172575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102</xdr:col>
      <xdr:colOff>0</xdr:colOff>
      <xdr:row>43</xdr:row>
      <xdr:rowOff>0</xdr:rowOff>
    </xdr:from>
    <xdr:to>
      <xdr:col>102</xdr:col>
      <xdr:colOff>19050</xdr:colOff>
      <xdr:row>43</xdr:row>
      <xdr:rowOff>142875</xdr:rowOff>
    </xdr:to>
    <xdr:sp macro="" textlink="">
      <xdr:nvSpPr>
        <xdr:cNvPr id="315772" name="Rectangle 28"/>
        <xdr:cNvSpPr>
          <a:spLocks noChangeArrowheads="1"/>
        </xdr:cNvSpPr>
      </xdr:nvSpPr>
      <xdr:spPr bwMode="auto">
        <a:xfrm>
          <a:off x="74333100" y="9172575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102</xdr:col>
      <xdr:colOff>0</xdr:colOff>
      <xdr:row>43</xdr:row>
      <xdr:rowOff>0</xdr:rowOff>
    </xdr:from>
    <xdr:to>
      <xdr:col>102</xdr:col>
      <xdr:colOff>19050</xdr:colOff>
      <xdr:row>43</xdr:row>
      <xdr:rowOff>142875</xdr:rowOff>
    </xdr:to>
    <xdr:sp macro="" textlink="">
      <xdr:nvSpPr>
        <xdr:cNvPr id="315773" name="Rectangle 28"/>
        <xdr:cNvSpPr>
          <a:spLocks noChangeArrowheads="1"/>
        </xdr:cNvSpPr>
      </xdr:nvSpPr>
      <xdr:spPr bwMode="auto">
        <a:xfrm>
          <a:off x="74333100" y="9172575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102</xdr:col>
      <xdr:colOff>0</xdr:colOff>
      <xdr:row>43</xdr:row>
      <xdr:rowOff>0</xdr:rowOff>
    </xdr:from>
    <xdr:to>
      <xdr:col>102</xdr:col>
      <xdr:colOff>19050</xdr:colOff>
      <xdr:row>43</xdr:row>
      <xdr:rowOff>142875</xdr:rowOff>
    </xdr:to>
    <xdr:sp macro="" textlink="">
      <xdr:nvSpPr>
        <xdr:cNvPr id="315774" name="Rectangle 28"/>
        <xdr:cNvSpPr>
          <a:spLocks noChangeArrowheads="1"/>
        </xdr:cNvSpPr>
      </xdr:nvSpPr>
      <xdr:spPr bwMode="auto">
        <a:xfrm>
          <a:off x="74333100" y="9172575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102</xdr:col>
      <xdr:colOff>0</xdr:colOff>
      <xdr:row>43</xdr:row>
      <xdr:rowOff>0</xdr:rowOff>
    </xdr:from>
    <xdr:to>
      <xdr:col>102</xdr:col>
      <xdr:colOff>19050</xdr:colOff>
      <xdr:row>43</xdr:row>
      <xdr:rowOff>142875</xdr:rowOff>
    </xdr:to>
    <xdr:sp macro="" textlink="">
      <xdr:nvSpPr>
        <xdr:cNvPr id="315775" name="Rectangle 27"/>
        <xdr:cNvSpPr>
          <a:spLocks noChangeArrowheads="1"/>
        </xdr:cNvSpPr>
      </xdr:nvSpPr>
      <xdr:spPr bwMode="auto">
        <a:xfrm>
          <a:off x="74333100" y="9172575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102</xdr:col>
      <xdr:colOff>0</xdr:colOff>
      <xdr:row>43</xdr:row>
      <xdr:rowOff>0</xdr:rowOff>
    </xdr:from>
    <xdr:to>
      <xdr:col>102</xdr:col>
      <xdr:colOff>19050</xdr:colOff>
      <xdr:row>43</xdr:row>
      <xdr:rowOff>142875</xdr:rowOff>
    </xdr:to>
    <xdr:sp macro="" textlink="">
      <xdr:nvSpPr>
        <xdr:cNvPr id="315776" name="Rectangle 27"/>
        <xdr:cNvSpPr>
          <a:spLocks noChangeArrowheads="1"/>
        </xdr:cNvSpPr>
      </xdr:nvSpPr>
      <xdr:spPr bwMode="auto">
        <a:xfrm>
          <a:off x="74333100" y="9172575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102</xdr:col>
      <xdr:colOff>0</xdr:colOff>
      <xdr:row>43</xdr:row>
      <xdr:rowOff>0</xdr:rowOff>
    </xdr:from>
    <xdr:to>
      <xdr:col>102</xdr:col>
      <xdr:colOff>19050</xdr:colOff>
      <xdr:row>43</xdr:row>
      <xdr:rowOff>142875</xdr:rowOff>
    </xdr:to>
    <xdr:sp macro="" textlink="">
      <xdr:nvSpPr>
        <xdr:cNvPr id="315777" name="Rectangle 28"/>
        <xdr:cNvSpPr>
          <a:spLocks noChangeArrowheads="1"/>
        </xdr:cNvSpPr>
      </xdr:nvSpPr>
      <xdr:spPr bwMode="auto">
        <a:xfrm>
          <a:off x="74333100" y="9172575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102</xdr:col>
      <xdr:colOff>0</xdr:colOff>
      <xdr:row>43</xdr:row>
      <xdr:rowOff>0</xdr:rowOff>
    </xdr:from>
    <xdr:to>
      <xdr:col>102</xdr:col>
      <xdr:colOff>19050</xdr:colOff>
      <xdr:row>43</xdr:row>
      <xdr:rowOff>142875</xdr:rowOff>
    </xdr:to>
    <xdr:sp macro="" textlink="">
      <xdr:nvSpPr>
        <xdr:cNvPr id="315778" name="Rectangle 28"/>
        <xdr:cNvSpPr>
          <a:spLocks noChangeArrowheads="1"/>
        </xdr:cNvSpPr>
      </xdr:nvSpPr>
      <xdr:spPr bwMode="auto">
        <a:xfrm>
          <a:off x="74333100" y="9172575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102</xdr:col>
      <xdr:colOff>0</xdr:colOff>
      <xdr:row>43</xdr:row>
      <xdr:rowOff>0</xdr:rowOff>
    </xdr:from>
    <xdr:to>
      <xdr:col>102</xdr:col>
      <xdr:colOff>19050</xdr:colOff>
      <xdr:row>43</xdr:row>
      <xdr:rowOff>142875</xdr:rowOff>
    </xdr:to>
    <xdr:sp macro="" textlink="">
      <xdr:nvSpPr>
        <xdr:cNvPr id="315779" name="Rectangle 28"/>
        <xdr:cNvSpPr>
          <a:spLocks noChangeArrowheads="1"/>
        </xdr:cNvSpPr>
      </xdr:nvSpPr>
      <xdr:spPr bwMode="auto">
        <a:xfrm>
          <a:off x="74333100" y="9172575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102</xdr:col>
      <xdr:colOff>0</xdr:colOff>
      <xdr:row>43</xdr:row>
      <xdr:rowOff>0</xdr:rowOff>
    </xdr:from>
    <xdr:to>
      <xdr:col>102</xdr:col>
      <xdr:colOff>19050</xdr:colOff>
      <xdr:row>43</xdr:row>
      <xdr:rowOff>142875</xdr:rowOff>
    </xdr:to>
    <xdr:sp macro="" textlink="">
      <xdr:nvSpPr>
        <xdr:cNvPr id="315780" name="Rectangle 27"/>
        <xdr:cNvSpPr>
          <a:spLocks noChangeArrowheads="1"/>
        </xdr:cNvSpPr>
      </xdr:nvSpPr>
      <xdr:spPr bwMode="auto">
        <a:xfrm>
          <a:off x="74333100" y="9172575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102</xdr:col>
      <xdr:colOff>0</xdr:colOff>
      <xdr:row>43</xdr:row>
      <xdr:rowOff>0</xdr:rowOff>
    </xdr:from>
    <xdr:to>
      <xdr:col>102</xdr:col>
      <xdr:colOff>19050</xdr:colOff>
      <xdr:row>43</xdr:row>
      <xdr:rowOff>142875</xdr:rowOff>
    </xdr:to>
    <xdr:sp macro="" textlink="">
      <xdr:nvSpPr>
        <xdr:cNvPr id="315781" name="Rectangle 27"/>
        <xdr:cNvSpPr>
          <a:spLocks noChangeArrowheads="1"/>
        </xdr:cNvSpPr>
      </xdr:nvSpPr>
      <xdr:spPr bwMode="auto">
        <a:xfrm>
          <a:off x="74333100" y="9172575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102</xdr:col>
      <xdr:colOff>0</xdr:colOff>
      <xdr:row>43</xdr:row>
      <xdr:rowOff>0</xdr:rowOff>
    </xdr:from>
    <xdr:to>
      <xdr:col>102</xdr:col>
      <xdr:colOff>19050</xdr:colOff>
      <xdr:row>43</xdr:row>
      <xdr:rowOff>142875</xdr:rowOff>
    </xdr:to>
    <xdr:sp macro="" textlink="">
      <xdr:nvSpPr>
        <xdr:cNvPr id="315782" name="Rectangle 28"/>
        <xdr:cNvSpPr>
          <a:spLocks noChangeArrowheads="1"/>
        </xdr:cNvSpPr>
      </xdr:nvSpPr>
      <xdr:spPr bwMode="auto">
        <a:xfrm>
          <a:off x="74333100" y="9172575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102</xdr:col>
      <xdr:colOff>0</xdr:colOff>
      <xdr:row>43</xdr:row>
      <xdr:rowOff>0</xdr:rowOff>
    </xdr:from>
    <xdr:to>
      <xdr:col>102</xdr:col>
      <xdr:colOff>19050</xdr:colOff>
      <xdr:row>43</xdr:row>
      <xdr:rowOff>142875</xdr:rowOff>
    </xdr:to>
    <xdr:sp macro="" textlink="">
      <xdr:nvSpPr>
        <xdr:cNvPr id="315783" name="Rectangle 28"/>
        <xdr:cNvSpPr>
          <a:spLocks noChangeArrowheads="1"/>
        </xdr:cNvSpPr>
      </xdr:nvSpPr>
      <xdr:spPr bwMode="auto">
        <a:xfrm>
          <a:off x="74333100" y="9172575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102</xdr:col>
      <xdr:colOff>0</xdr:colOff>
      <xdr:row>43</xdr:row>
      <xdr:rowOff>0</xdr:rowOff>
    </xdr:from>
    <xdr:to>
      <xdr:col>102</xdr:col>
      <xdr:colOff>19050</xdr:colOff>
      <xdr:row>43</xdr:row>
      <xdr:rowOff>142875</xdr:rowOff>
    </xdr:to>
    <xdr:sp macro="" textlink="">
      <xdr:nvSpPr>
        <xdr:cNvPr id="315784" name="Rectangle 28"/>
        <xdr:cNvSpPr>
          <a:spLocks noChangeArrowheads="1"/>
        </xdr:cNvSpPr>
      </xdr:nvSpPr>
      <xdr:spPr bwMode="auto">
        <a:xfrm>
          <a:off x="74333100" y="9172575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102</xdr:col>
      <xdr:colOff>0</xdr:colOff>
      <xdr:row>43</xdr:row>
      <xdr:rowOff>0</xdr:rowOff>
    </xdr:from>
    <xdr:to>
      <xdr:col>102</xdr:col>
      <xdr:colOff>19050</xdr:colOff>
      <xdr:row>43</xdr:row>
      <xdr:rowOff>142875</xdr:rowOff>
    </xdr:to>
    <xdr:sp macro="" textlink="">
      <xdr:nvSpPr>
        <xdr:cNvPr id="315785" name="Rectangle 28"/>
        <xdr:cNvSpPr>
          <a:spLocks noChangeArrowheads="1"/>
        </xdr:cNvSpPr>
      </xdr:nvSpPr>
      <xdr:spPr bwMode="auto">
        <a:xfrm>
          <a:off x="74333100" y="9172575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102</xdr:col>
      <xdr:colOff>0</xdr:colOff>
      <xdr:row>43</xdr:row>
      <xdr:rowOff>0</xdr:rowOff>
    </xdr:from>
    <xdr:to>
      <xdr:col>102</xdr:col>
      <xdr:colOff>19050</xdr:colOff>
      <xdr:row>43</xdr:row>
      <xdr:rowOff>142875</xdr:rowOff>
    </xdr:to>
    <xdr:sp macro="" textlink="">
      <xdr:nvSpPr>
        <xdr:cNvPr id="315786" name="Rectangle 28"/>
        <xdr:cNvSpPr>
          <a:spLocks noChangeArrowheads="1"/>
        </xdr:cNvSpPr>
      </xdr:nvSpPr>
      <xdr:spPr bwMode="auto">
        <a:xfrm>
          <a:off x="74333100" y="9172575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102</xdr:col>
      <xdr:colOff>0</xdr:colOff>
      <xdr:row>43</xdr:row>
      <xdr:rowOff>0</xdr:rowOff>
    </xdr:from>
    <xdr:to>
      <xdr:col>102</xdr:col>
      <xdr:colOff>19050</xdr:colOff>
      <xdr:row>43</xdr:row>
      <xdr:rowOff>142875</xdr:rowOff>
    </xdr:to>
    <xdr:sp macro="" textlink="">
      <xdr:nvSpPr>
        <xdr:cNvPr id="315787" name="Rectangle 27"/>
        <xdr:cNvSpPr>
          <a:spLocks noChangeArrowheads="1"/>
        </xdr:cNvSpPr>
      </xdr:nvSpPr>
      <xdr:spPr bwMode="auto">
        <a:xfrm>
          <a:off x="74333100" y="9172575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102</xdr:col>
      <xdr:colOff>0</xdr:colOff>
      <xdr:row>43</xdr:row>
      <xdr:rowOff>0</xdr:rowOff>
    </xdr:from>
    <xdr:to>
      <xdr:col>102</xdr:col>
      <xdr:colOff>19050</xdr:colOff>
      <xdr:row>43</xdr:row>
      <xdr:rowOff>142875</xdr:rowOff>
    </xdr:to>
    <xdr:sp macro="" textlink="">
      <xdr:nvSpPr>
        <xdr:cNvPr id="315788" name="Rectangle 28"/>
        <xdr:cNvSpPr>
          <a:spLocks noChangeArrowheads="1"/>
        </xdr:cNvSpPr>
      </xdr:nvSpPr>
      <xdr:spPr bwMode="auto">
        <a:xfrm>
          <a:off x="74333100" y="9172575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102</xdr:col>
      <xdr:colOff>0</xdr:colOff>
      <xdr:row>43</xdr:row>
      <xdr:rowOff>0</xdr:rowOff>
    </xdr:from>
    <xdr:to>
      <xdr:col>102</xdr:col>
      <xdr:colOff>19050</xdr:colOff>
      <xdr:row>43</xdr:row>
      <xdr:rowOff>142875</xdr:rowOff>
    </xdr:to>
    <xdr:sp macro="" textlink="">
      <xdr:nvSpPr>
        <xdr:cNvPr id="315789" name="Rectangle 27"/>
        <xdr:cNvSpPr>
          <a:spLocks noChangeArrowheads="1"/>
        </xdr:cNvSpPr>
      </xdr:nvSpPr>
      <xdr:spPr bwMode="auto">
        <a:xfrm>
          <a:off x="74333100" y="9172575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102</xdr:col>
      <xdr:colOff>0</xdr:colOff>
      <xdr:row>43</xdr:row>
      <xdr:rowOff>0</xdr:rowOff>
    </xdr:from>
    <xdr:to>
      <xdr:col>102</xdr:col>
      <xdr:colOff>19050</xdr:colOff>
      <xdr:row>43</xdr:row>
      <xdr:rowOff>142875</xdr:rowOff>
    </xdr:to>
    <xdr:sp macro="" textlink="">
      <xdr:nvSpPr>
        <xdr:cNvPr id="315790" name="Rectangle 28"/>
        <xdr:cNvSpPr>
          <a:spLocks noChangeArrowheads="1"/>
        </xdr:cNvSpPr>
      </xdr:nvSpPr>
      <xdr:spPr bwMode="auto">
        <a:xfrm>
          <a:off x="74333100" y="9172575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102</xdr:col>
      <xdr:colOff>0</xdr:colOff>
      <xdr:row>43</xdr:row>
      <xdr:rowOff>0</xdr:rowOff>
    </xdr:from>
    <xdr:to>
      <xdr:col>102</xdr:col>
      <xdr:colOff>19050</xdr:colOff>
      <xdr:row>43</xdr:row>
      <xdr:rowOff>142875</xdr:rowOff>
    </xdr:to>
    <xdr:sp macro="" textlink="">
      <xdr:nvSpPr>
        <xdr:cNvPr id="315791" name="Rectangle 28"/>
        <xdr:cNvSpPr>
          <a:spLocks noChangeArrowheads="1"/>
        </xdr:cNvSpPr>
      </xdr:nvSpPr>
      <xdr:spPr bwMode="auto">
        <a:xfrm>
          <a:off x="74333100" y="9172575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102</xdr:col>
      <xdr:colOff>0</xdr:colOff>
      <xdr:row>43</xdr:row>
      <xdr:rowOff>0</xdr:rowOff>
    </xdr:from>
    <xdr:to>
      <xdr:col>102</xdr:col>
      <xdr:colOff>19050</xdr:colOff>
      <xdr:row>43</xdr:row>
      <xdr:rowOff>142875</xdr:rowOff>
    </xdr:to>
    <xdr:sp macro="" textlink="">
      <xdr:nvSpPr>
        <xdr:cNvPr id="315792" name="Rectangle 28"/>
        <xdr:cNvSpPr>
          <a:spLocks noChangeArrowheads="1"/>
        </xdr:cNvSpPr>
      </xdr:nvSpPr>
      <xdr:spPr bwMode="auto">
        <a:xfrm>
          <a:off x="74333100" y="9172575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102</xdr:col>
      <xdr:colOff>0</xdr:colOff>
      <xdr:row>43</xdr:row>
      <xdr:rowOff>0</xdr:rowOff>
    </xdr:from>
    <xdr:to>
      <xdr:col>102</xdr:col>
      <xdr:colOff>19050</xdr:colOff>
      <xdr:row>43</xdr:row>
      <xdr:rowOff>142875</xdr:rowOff>
    </xdr:to>
    <xdr:sp macro="" textlink="">
      <xdr:nvSpPr>
        <xdr:cNvPr id="315793" name="Rectangle 28"/>
        <xdr:cNvSpPr>
          <a:spLocks noChangeArrowheads="1"/>
        </xdr:cNvSpPr>
      </xdr:nvSpPr>
      <xdr:spPr bwMode="auto">
        <a:xfrm>
          <a:off x="74333100" y="9172575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102</xdr:col>
      <xdr:colOff>0</xdr:colOff>
      <xdr:row>43</xdr:row>
      <xdr:rowOff>0</xdr:rowOff>
    </xdr:from>
    <xdr:to>
      <xdr:col>102</xdr:col>
      <xdr:colOff>19050</xdr:colOff>
      <xdr:row>43</xdr:row>
      <xdr:rowOff>142875</xdr:rowOff>
    </xdr:to>
    <xdr:sp macro="" textlink="">
      <xdr:nvSpPr>
        <xdr:cNvPr id="315794" name="Rectangle 27"/>
        <xdr:cNvSpPr>
          <a:spLocks noChangeArrowheads="1"/>
        </xdr:cNvSpPr>
      </xdr:nvSpPr>
      <xdr:spPr bwMode="auto">
        <a:xfrm>
          <a:off x="74333100" y="9172575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102</xdr:col>
      <xdr:colOff>0</xdr:colOff>
      <xdr:row>43</xdr:row>
      <xdr:rowOff>0</xdr:rowOff>
    </xdr:from>
    <xdr:to>
      <xdr:col>102</xdr:col>
      <xdr:colOff>19050</xdr:colOff>
      <xdr:row>43</xdr:row>
      <xdr:rowOff>142875</xdr:rowOff>
    </xdr:to>
    <xdr:sp macro="" textlink="">
      <xdr:nvSpPr>
        <xdr:cNvPr id="315795" name="Rectangle 27"/>
        <xdr:cNvSpPr>
          <a:spLocks noChangeArrowheads="1"/>
        </xdr:cNvSpPr>
      </xdr:nvSpPr>
      <xdr:spPr bwMode="auto">
        <a:xfrm>
          <a:off x="74333100" y="9172575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102</xdr:col>
      <xdr:colOff>0</xdr:colOff>
      <xdr:row>43</xdr:row>
      <xdr:rowOff>0</xdr:rowOff>
    </xdr:from>
    <xdr:to>
      <xdr:col>102</xdr:col>
      <xdr:colOff>19050</xdr:colOff>
      <xdr:row>43</xdr:row>
      <xdr:rowOff>142875</xdr:rowOff>
    </xdr:to>
    <xdr:sp macro="" textlink="">
      <xdr:nvSpPr>
        <xdr:cNvPr id="315796" name="Rectangle 28"/>
        <xdr:cNvSpPr>
          <a:spLocks noChangeArrowheads="1"/>
        </xdr:cNvSpPr>
      </xdr:nvSpPr>
      <xdr:spPr bwMode="auto">
        <a:xfrm>
          <a:off x="74333100" y="9172575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102</xdr:col>
      <xdr:colOff>0</xdr:colOff>
      <xdr:row>43</xdr:row>
      <xdr:rowOff>0</xdr:rowOff>
    </xdr:from>
    <xdr:to>
      <xdr:col>102</xdr:col>
      <xdr:colOff>19050</xdr:colOff>
      <xdr:row>43</xdr:row>
      <xdr:rowOff>142875</xdr:rowOff>
    </xdr:to>
    <xdr:sp macro="" textlink="">
      <xdr:nvSpPr>
        <xdr:cNvPr id="315797" name="Rectangle 28"/>
        <xdr:cNvSpPr>
          <a:spLocks noChangeArrowheads="1"/>
        </xdr:cNvSpPr>
      </xdr:nvSpPr>
      <xdr:spPr bwMode="auto">
        <a:xfrm>
          <a:off x="74333100" y="9172575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102</xdr:col>
      <xdr:colOff>0</xdr:colOff>
      <xdr:row>43</xdr:row>
      <xdr:rowOff>0</xdr:rowOff>
    </xdr:from>
    <xdr:to>
      <xdr:col>102</xdr:col>
      <xdr:colOff>19050</xdr:colOff>
      <xdr:row>43</xdr:row>
      <xdr:rowOff>142875</xdr:rowOff>
    </xdr:to>
    <xdr:sp macro="" textlink="">
      <xdr:nvSpPr>
        <xdr:cNvPr id="315798" name="Rectangle 28"/>
        <xdr:cNvSpPr>
          <a:spLocks noChangeArrowheads="1"/>
        </xdr:cNvSpPr>
      </xdr:nvSpPr>
      <xdr:spPr bwMode="auto">
        <a:xfrm>
          <a:off x="74333100" y="9172575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102</xdr:col>
      <xdr:colOff>0</xdr:colOff>
      <xdr:row>43</xdr:row>
      <xdr:rowOff>0</xdr:rowOff>
    </xdr:from>
    <xdr:to>
      <xdr:col>102</xdr:col>
      <xdr:colOff>19050</xdr:colOff>
      <xdr:row>43</xdr:row>
      <xdr:rowOff>142875</xdr:rowOff>
    </xdr:to>
    <xdr:sp macro="" textlink="">
      <xdr:nvSpPr>
        <xdr:cNvPr id="315799" name="Rectangle 27"/>
        <xdr:cNvSpPr>
          <a:spLocks noChangeArrowheads="1"/>
        </xdr:cNvSpPr>
      </xdr:nvSpPr>
      <xdr:spPr bwMode="auto">
        <a:xfrm>
          <a:off x="74333100" y="9172575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102</xdr:col>
      <xdr:colOff>0</xdr:colOff>
      <xdr:row>43</xdr:row>
      <xdr:rowOff>0</xdr:rowOff>
    </xdr:from>
    <xdr:to>
      <xdr:col>102</xdr:col>
      <xdr:colOff>19050</xdr:colOff>
      <xdr:row>43</xdr:row>
      <xdr:rowOff>142875</xdr:rowOff>
    </xdr:to>
    <xdr:sp macro="" textlink="">
      <xdr:nvSpPr>
        <xdr:cNvPr id="315800" name="Rectangle 27"/>
        <xdr:cNvSpPr>
          <a:spLocks noChangeArrowheads="1"/>
        </xdr:cNvSpPr>
      </xdr:nvSpPr>
      <xdr:spPr bwMode="auto">
        <a:xfrm>
          <a:off x="74333100" y="9172575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102</xdr:col>
      <xdr:colOff>0</xdr:colOff>
      <xdr:row>43</xdr:row>
      <xdr:rowOff>0</xdr:rowOff>
    </xdr:from>
    <xdr:to>
      <xdr:col>102</xdr:col>
      <xdr:colOff>19050</xdr:colOff>
      <xdr:row>43</xdr:row>
      <xdr:rowOff>142875</xdr:rowOff>
    </xdr:to>
    <xdr:sp macro="" textlink="">
      <xdr:nvSpPr>
        <xdr:cNvPr id="315801" name="Rectangle 28"/>
        <xdr:cNvSpPr>
          <a:spLocks noChangeArrowheads="1"/>
        </xdr:cNvSpPr>
      </xdr:nvSpPr>
      <xdr:spPr bwMode="auto">
        <a:xfrm>
          <a:off x="74333100" y="9172575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102</xdr:col>
      <xdr:colOff>0</xdr:colOff>
      <xdr:row>43</xdr:row>
      <xdr:rowOff>0</xdr:rowOff>
    </xdr:from>
    <xdr:to>
      <xdr:col>102</xdr:col>
      <xdr:colOff>19050</xdr:colOff>
      <xdr:row>43</xdr:row>
      <xdr:rowOff>142875</xdr:rowOff>
    </xdr:to>
    <xdr:sp macro="" textlink="">
      <xdr:nvSpPr>
        <xdr:cNvPr id="315802" name="Rectangle 28"/>
        <xdr:cNvSpPr>
          <a:spLocks noChangeArrowheads="1"/>
        </xdr:cNvSpPr>
      </xdr:nvSpPr>
      <xdr:spPr bwMode="auto">
        <a:xfrm>
          <a:off x="74333100" y="9172575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102</xdr:col>
      <xdr:colOff>0</xdr:colOff>
      <xdr:row>43</xdr:row>
      <xdr:rowOff>0</xdr:rowOff>
    </xdr:from>
    <xdr:to>
      <xdr:col>102</xdr:col>
      <xdr:colOff>19050</xdr:colOff>
      <xdr:row>43</xdr:row>
      <xdr:rowOff>142875</xdr:rowOff>
    </xdr:to>
    <xdr:sp macro="" textlink="">
      <xdr:nvSpPr>
        <xdr:cNvPr id="315803" name="Rectangle 27"/>
        <xdr:cNvSpPr>
          <a:spLocks noChangeArrowheads="1"/>
        </xdr:cNvSpPr>
      </xdr:nvSpPr>
      <xdr:spPr bwMode="auto">
        <a:xfrm>
          <a:off x="74333100" y="9172575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102</xdr:col>
      <xdr:colOff>0</xdr:colOff>
      <xdr:row>43</xdr:row>
      <xdr:rowOff>0</xdr:rowOff>
    </xdr:from>
    <xdr:to>
      <xdr:col>102</xdr:col>
      <xdr:colOff>19050</xdr:colOff>
      <xdr:row>43</xdr:row>
      <xdr:rowOff>142875</xdr:rowOff>
    </xdr:to>
    <xdr:sp macro="" textlink="">
      <xdr:nvSpPr>
        <xdr:cNvPr id="315804" name="Rectangle 28"/>
        <xdr:cNvSpPr>
          <a:spLocks noChangeArrowheads="1"/>
        </xdr:cNvSpPr>
      </xdr:nvSpPr>
      <xdr:spPr bwMode="auto">
        <a:xfrm>
          <a:off x="74333100" y="9172575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102</xdr:col>
      <xdr:colOff>0</xdr:colOff>
      <xdr:row>43</xdr:row>
      <xdr:rowOff>0</xdr:rowOff>
    </xdr:from>
    <xdr:to>
      <xdr:col>102</xdr:col>
      <xdr:colOff>19050</xdr:colOff>
      <xdr:row>43</xdr:row>
      <xdr:rowOff>142875</xdr:rowOff>
    </xdr:to>
    <xdr:sp macro="" textlink="">
      <xdr:nvSpPr>
        <xdr:cNvPr id="315805" name="Rectangle 27"/>
        <xdr:cNvSpPr>
          <a:spLocks noChangeArrowheads="1"/>
        </xdr:cNvSpPr>
      </xdr:nvSpPr>
      <xdr:spPr bwMode="auto">
        <a:xfrm>
          <a:off x="74333100" y="9172575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102</xdr:col>
      <xdr:colOff>0</xdr:colOff>
      <xdr:row>43</xdr:row>
      <xdr:rowOff>0</xdr:rowOff>
    </xdr:from>
    <xdr:to>
      <xdr:col>102</xdr:col>
      <xdr:colOff>19050</xdr:colOff>
      <xdr:row>43</xdr:row>
      <xdr:rowOff>142875</xdr:rowOff>
    </xdr:to>
    <xdr:sp macro="" textlink="">
      <xdr:nvSpPr>
        <xdr:cNvPr id="315806" name="Rectangle 28"/>
        <xdr:cNvSpPr>
          <a:spLocks noChangeArrowheads="1"/>
        </xdr:cNvSpPr>
      </xdr:nvSpPr>
      <xdr:spPr bwMode="auto">
        <a:xfrm>
          <a:off x="74333100" y="9172575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102</xdr:col>
      <xdr:colOff>0</xdr:colOff>
      <xdr:row>43</xdr:row>
      <xdr:rowOff>0</xdr:rowOff>
    </xdr:from>
    <xdr:to>
      <xdr:col>102</xdr:col>
      <xdr:colOff>19050</xdr:colOff>
      <xdr:row>43</xdr:row>
      <xdr:rowOff>142875</xdr:rowOff>
    </xdr:to>
    <xdr:sp macro="" textlink="">
      <xdr:nvSpPr>
        <xdr:cNvPr id="315807" name="Rectangle 28"/>
        <xdr:cNvSpPr>
          <a:spLocks noChangeArrowheads="1"/>
        </xdr:cNvSpPr>
      </xdr:nvSpPr>
      <xdr:spPr bwMode="auto">
        <a:xfrm>
          <a:off x="74333100" y="9172575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102</xdr:col>
      <xdr:colOff>0</xdr:colOff>
      <xdr:row>43</xdr:row>
      <xdr:rowOff>0</xdr:rowOff>
    </xdr:from>
    <xdr:to>
      <xdr:col>102</xdr:col>
      <xdr:colOff>19050</xdr:colOff>
      <xdr:row>43</xdr:row>
      <xdr:rowOff>142875</xdr:rowOff>
    </xdr:to>
    <xdr:sp macro="" textlink="">
      <xdr:nvSpPr>
        <xdr:cNvPr id="315808" name="Rectangle 27"/>
        <xdr:cNvSpPr>
          <a:spLocks noChangeArrowheads="1"/>
        </xdr:cNvSpPr>
      </xdr:nvSpPr>
      <xdr:spPr bwMode="auto">
        <a:xfrm>
          <a:off x="74333100" y="9172575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102</xdr:col>
      <xdr:colOff>0</xdr:colOff>
      <xdr:row>43</xdr:row>
      <xdr:rowOff>0</xdr:rowOff>
    </xdr:from>
    <xdr:to>
      <xdr:col>102</xdr:col>
      <xdr:colOff>19050</xdr:colOff>
      <xdr:row>43</xdr:row>
      <xdr:rowOff>142875</xdr:rowOff>
    </xdr:to>
    <xdr:sp macro="" textlink="">
      <xdr:nvSpPr>
        <xdr:cNvPr id="315809" name="Rectangle 28"/>
        <xdr:cNvSpPr>
          <a:spLocks noChangeArrowheads="1"/>
        </xdr:cNvSpPr>
      </xdr:nvSpPr>
      <xdr:spPr bwMode="auto">
        <a:xfrm>
          <a:off x="74333100" y="9172575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102</xdr:col>
      <xdr:colOff>0</xdr:colOff>
      <xdr:row>43</xdr:row>
      <xdr:rowOff>0</xdr:rowOff>
    </xdr:from>
    <xdr:to>
      <xdr:col>102</xdr:col>
      <xdr:colOff>19050</xdr:colOff>
      <xdr:row>43</xdr:row>
      <xdr:rowOff>142875</xdr:rowOff>
    </xdr:to>
    <xdr:sp macro="" textlink="">
      <xdr:nvSpPr>
        <xdr:cNvPr id="315810" name="Rectangle 28"/>
        <xdr:cNvSpPr>
          <a:spLocks noChangeArrowheads="1"/>
        </xdr:cNvSpPr>
      </xdr:nvSpPr>
      <xdr:spPr bwMode="auto">
        <a:xfrm>
          <a:off x="74333100" y="9172575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102</xdr:col>
      <xdr:colOff>0</xdr:colOff>
      <xdr:row>43</xdr:row>
      <xdr:rowOff>0</xdr:rowOff>
    </xdr:from>
    <xdr:to>
      <xdr:col>102</xdr:col>
      <xdr:colOff>19050</xdr:colOff>
      <xdr:row>43</xdr:row>
      <xdr:rowOff>142875</xdr:rowOff>
    </xdr:to>
    <xdr:sp macro="" textlink="">
      <xdr:nvSpPr>
        <xdr:cNvPr id="315811" name="Rectangle 28"/>
        <xdr:cNvSpPr>
          <a:spLocks noChangeArrowheads="1"/>
        </xdr:cNvSpPr>
      </xdr:nvSpPr>
      <xdr:spPr bwMode="auto">
        <a:xfrm>
          <a:off x="74333100" y="9172575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102</xdr:col>
      <xdr:colOff>0</xdr:colOff>
      <xdr:row>43</xdr:row>
      <xdr:rowOff>0</xdr:rowOff>
    </xdr:from>
    <xdr:to>
      <xdr:col>102</xdr:col>
      <xdr:colOff>19050</xdr:colOff>
      <xdr:row>43</xdr:row>
      <xdr:rowOff>142875</xdr:rowOff>
    </xdr:to>
    <xdr:sp macro="" textlink="">
      <xdr:nvSpPr>
        <xdr:cNvPr id="315812" name="Rectangle 28"/>
        <xdr:cNvSpPr>
          <a:spLocks noChangeArrowheads="1"/>
        </xdr:cNvSpPr>
      </xdr:nvSpPr>
      <xdr:spPr bwMode="auto">
        <a:xfrm>
          <a:off x="74333100" y="9172575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102</xdr:col>
      <xdr:colOff>0</xdr:colOff>
      <xdr:row>43</xdr:row>
      <xdr:rowOff>0</xdr:rowOff>
    </xdr:from>
    <xdr:to>
      <xdr:col>102</xdr:col>
      <xdr:colOff>19050</xdr:colOff>
      <xdr:row>43</xdr:row>
      <xdr:rowOff>142875</xdr:rowOff>
    </xdr:to>
    <xdr:sp macro="" textlink="">
      <xdr:nvSpPr>
        <xdr:cNvPr id="315813" name="Rectangle 27"/>
        <xdr:cNvSpPr>
          <a:spLocks noChangeArrowheads="1"/>
        </xdr:cNvSpPr>
      </xdr:nvSpPr>
      <xdr:spPr bwMode="auto">
        <a:xfrm>
          <a:off x="74333100" y="9172575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102</xdr:col>
      <xdr:colOff>0</xdr:colOff>
      <xdr:row>43</xdr:row>
      <xdr:rowOff>0</xdr:rowOff>
    </xdr:from>
    <xdr:to>
      <xdr:col>102</xdr:col>
      <xdr:colOff>19050</xdr:colOff>
      <xdr:row>43</xdr:row>
      <xdr:rowOff>142875</xdr:rowOff>
    </xdr:to>
    <xdr:sp macro="" textlink="">
      <xdr:nvSpPr>
        <xdr:cNvPr id="315814" name="Rectangle 28"/>
        <xdr:cNvSpPr>
          <a:spLocks noChangeArrowheads="1"/>
        </xdr:cNvSpPr>
      </xdr:nvSpPr>
      <xdr:spPr bwMode="auto">
        <a:xfrm>
          <a:off x="74333100" y="9172575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102</xdr:col>
      <xdr:colOff>0</xdr:colOff>
      <xdr:row>43</xdr:row>
      <xdr:rowOff>0</xdr:rowOff>
    </xdr:from>
    <xdr:to>
      <xdr:col>102</xdr:col>
      <xdr:colOff>19050</xdr:colOff>
      <xdr:row>43</xdr:row>
      <xdr:rowOff>142875</xdr:rowOff>
    </xdr:to>
    <xdr:sp macro="" textlink="">
      <xdr:nvSpPr>
        <xdr:cNvPr id="315815" name="Rectangle 27"/>
        <xdr:cNvSpPr>
          <a:spLocks noChangeArrowheads="1"/>
        </xdr:cNvSpPr>
      </xdr:nvSpPr>
      <xdr:spPr bwMode="auto">
        <a:xfrm>
          <a:off x="74333100" y="9172575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102</xdr:col>
      <xdr:colOff>0</xdr:colOff>
      <xdr:row>43</xdr:row>
      <xdr:rowOff>0</xdr:rowOff>
    </xdr:from>
    <xdr:to>
      <xdr:col>102</xdr:col>
      <xdr:colOff>19050</xdr:colOff>
      <xdr:row>43</xdr:row>
      <xdr:rowOff>142875</xdr:rowOff>
    </xdr:to>
    <xdr:sp macro="" textlink="">
      <xdr:nvSpPr>
        <xdr:cNvPr id="315816" name="Rectangle 27"/>
        <xdr:cNvSpPr>
          <a:spLocks noChangeArrowheads="1"/>
        </xdr:cNvSpPr>
      </xdr:nvSpPr>
      <xdr:spPr bwMode="auto">
        <a:xfrm>
          <a:off x="74333100" y="9172575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102</xdr:col>
      <xdr:colOff>0</xdr:colOff>
      <xdr:row>43</xdr:row>
      <xdr:rowOff>0</xdr:rowOff>
    </xdr:from>
    <xdr:to>
      <xdr:col>102</xdr:col>
      <xdr:colOff>19050</xdr:colOff>
      <xdr:row>43</xdr:row>
      <xdr:rowOff>142875</xdr:rowOff>
    </xdr:to>
    <xdr:sp macro="" textlink="">
      <xdr:nvSpPr>
        <xdr:cNvPr id="315817" name="Rectangle 28"/>
        <xdr:cNvSpPr>
          <a:spLocks noChangeArrowheads="1"/>
        </xdr:cNvSpPr>
      </xdr:nvSpPr>
      <xdr:spPr bwMode="auto">
        <a:xfrm>
          <a:off x="74333100" y="9172575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102</xdr:col>
      <xdr:colOff>0</xdr:colOff>
      <xdr:row>43</xdr:row>
      <xdr:rowOff>0</xdr:rowOff>
    </xdr:from>
    <xdr:to>
      <xdr:col>102</xdr:col>
      <xdr:colOff>19050</xdr:colOff>
      <xdr:row>43</xdr:row>
      <xdr:rowOff>142875</xdr:rowOff>
    </xdr:to>
    <xdr:sp macro="" textlink="">
      <xdr:nvSpPr>
        <xdr:cNvPr id="315818" name="Rectangle 27"/>
        <xdr:cNvSpPr>
          <a:spLocks noChangeArrowheads="1"/>
        </xdr:cNvSpPr>
      </xdr:nvSpPr>
      <xdr:spPr bwMode="auto">
        <a:xfrm>
          <a:off x="74333100" y="9172575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102</xdr:col>
      <xdr:colOff>0</xdr:colOff>
      <xdr:row>43</xdr:row>
      <xdr:rowOff>0</xdr:rowOff>
    </xdr:from>
    <xdr:to>
      <xdr:col>102</xdr:col>
      <xdr:colOff>19050</xdr:colOff>
      <xdr:row>43</xdr:row>
      <xdr:rowOff>142875</xdr:rowOff>
    </xdr:to>
    <xdr:sp macro="" textlink="">
      <xdr:nvSpPr>
        <xdr:cNvPr id="315819" name="Rectangle 27"/>
        <xdr:cNvSpPr>
          <a:spLocks noChangeArrowheads="1"/>
        </xdr:cNvSpPr>
      </xdr:nvSpPr>
      <xdr:spPr bwMode="auto">
        <a:xfrm>
          <a:off x="74333100" y="9172575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102</xdr:col>
      <xdr:colOff>0</xdr:colOff>
      <xdr:row>43</xdr:row>
      <xdr:rowOff>0</xdr:rowOff>
    </xdr:from>
    <xdr:to>
      <xdr:col>102</xdr:col>
      <xdr:colOff>19050</xdr:colOff>
      <xdr:row>43</xdr:row>
      <xdr:rowOff>142875</xdr:rowOff>
    </xdr:to>
    <xdr:sp macro="" textlink="">
      <xdr:nvSpPr>
        <xdr:cNvPr id="315820" name="Rectangle 28"/>
        <xdr:cNvSpPr>
          <a:spLocks noChangeArrowheads="1"/>
        </xdr:cNvSpPr>
      </xdr:nvSpPr>
      <xdr:spPr bwMode="auto">
        <a:xfrm>
          <a:off x="74333100" y="9172575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102</xdr:col>
      <xdr:colOff>0</xdr:colOff>
      <xdr:row>43</xdr:row>
      <xdr:rowOff>0</xdr:rowOff>
    </xdr:from>
    <xdr:to>
      <xdr:col>102</xdr:col>
      <xdr:colOff>19050</xdr:colOff>
      <xdr:row>43</xdr:row>
      <xdr:rowOff>142875</xdr:rowOff>
    </xdr:to>
    <xdr:sp macro="" textlink="">
      <xdr:nvSpPr>
        <xdr:cNvPr id="315821" name="Rectangle 27"/>
        <xdr:cNvSpPr>
          <a:spLocks noChangeArrowheads="1"/>
        </xdr:cNvSpPr>
      </xdr:nvSpPr>
      <xdr:spPr bwMode="auto">
        <a:xfrm>
          <a:off x="74333100" y="9172575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102</xdr:col>
      <xdr:colOff>0</xdr:colOff>
      <xdr:row>43</xdr:row>
      <xdr:rowOff>0</xdr:rowOff>
    </xdr:from>
    <xdr:to>
      <xdr:col>102</xdr:col>
      <xdr:colOff>19050</xdr:colOff>
      <xdr:row>43</xdr:row>
      <xdr:rowOff>142875</xdr:rowOff>
    </xdr:to>
    <xdr:sp macro="" textlink="">
      <xdr:nvSpPr>
        <xdr:cNvPr id="315822" name="Rectangle 28"/>
        <xdr:cNvSpPr>
          <a:spLocks noChangeArrowheads="1"/>
        </xdr:cNvSpPr>
      </xdr:nvSpPr>
      <xdr:spPr bwMode="auto">
        <a:xfrm>
          <a:off x="74333100" y="9172575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102</xdr:col>
      <xdr:colOff>0</xdr:colOff>
      <xdr:row>43</xdr:row>
      <xdr:rowOff>0</xdr:rowOff>
    </xdr:from>
    <xdr:to>
      <xdr:col>102</xdr:col>
      <xdr:colOff>19050</xdr:colOff>
      <xdr:row>43</xdr:row>
      <xdr:rowOff>142875</xdr:rowOff>
    </xdr:to>
    <xdr:sp macro="" textlink="">
      <xdr:nvSpPr>
        <xdr:cNvPr id="315823" name="Rectangle 27"/>
        <xdr:cNvSpPr>
          <a:spLocks noChangeArrowheads="1"/>
        </xdr:cNvSpPr>
      </xdr:nvSpPr>
      <xdr:spPr bwMode="auto">
        <a:xfrm>
          <a:off x="74333100" y="9172575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102</xdr:col>
      <xdr:colOff>0</xdr:colOff>
      <xdr:row>43</xdr:row>
      <xdr:rowOff>0</xdr:rowOff>
    </xdr:from>
    <xdr:to>
      <xdr:col>102</xdr:col>
      <xdr:colOff>19050</xdr:colOff>
      <xdr:row>43</xdr:row>
      <xdr:rowOff>142875</xdr:rowOff>
    </xdr:to>
    <xdr:sp macro="" textlink="">
      <xdr:nvSpPr>
        <xdr:cNvPr id="315824" name="Rectangle 28"/>
        <xdr:cNvSpPr>
          <a:spLocks noChangeArrowheads="1"/>
        </xdr:cNvSpPr>
      </xdr:nvSpPr>
      <xdr:spPr bwMode="auto">
        <a:xfrm>
          <a:off x="74333100" y="9172575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102</xdr:col>
      <xdr:colOff>0</xdr:colOff>
      <xdr:row>43</xdr:row>
      <xdr:rowOff>0</xdr:rowOff>
    </xdr:from>
    <xdr:to>
      <xdr:col>102</xdr:col>
      <xdr:colOff>19050</xdr:colOff>
      <xdr:row>43</xdr:row>
      <xdr:rowOff>142875</xdr:rowOff>
    </xdr:to>
    <xdr:sp macro="" textlink="">
      <xdr:nvSpPr>
        <xdr:cNvPr id="315825" name="Rectangle 27"/>
        <xdr:cNvSpPr>
          <a:spLocks noChangeArrowheads="1"/>
        </xdr:cNvSpPr>
      </xdr:nvSpPr>
      <xdr:spPr bwMode="auto">
        <a:xfrm>
          <a:off x="74333100" y="9172575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102</xdr:col>
      <xdr:colOff>0</xdr:colOff>
      <xdr:row>43</xdr:row>
      <xdr:rowOff>0</xdr:rowOff>
    </xdr:from>
    <xdr:to>
      <xdr:col>102</xdr:col>
      <xdr:colOff>19050</xdr:colOff>
      <xdr:row>43</xdr:row>
      <xdr:rowOff>142875</xdr:rowOff>
    </xdr:to>
    <xdr:sp macro="" textlink="">
      <xdr:nvSpPr>
        <xdr:cNvPr id="315826" name="Rectangle 28"/>
        <xdr:cNvSpPr>
          <a:spLocks noChangeArrowheads="1"/>
        </xdr:cNvSpPr>
      </xdr:nvSpPr>
      <xdr:spPr bwMode="auto">
        <a:xfrm>
          <a:off x="74333100" y="9172575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102</xdr:col>
      <xdr:colOff>0</xdr:colOff>
      <xdr:row>43</xdr:row>
      <xdr:rowOff>0</xdr:rowOff>
    </xdr:from>
    <xdr:to>
      <xdr:col>102</xdr:col>
      <xdr:colOff>19050</xdr:colOff>
      <xdr:row>43</xdr:row>
      <xdr:rowOff>142875</xdr:rowOff>
    </xdr:to>
    <xdr:sp macro="" textlink="">
      <xdr:nvSpPr>
        <xdr:cNvPr id="315827" name="Rectangle 27"/>
        <xdr:cNvSpPr>
          <a:spLocks noChangeArrowheads="1"/>
        </xdr:cNvSpPr>
      </xdr:nvSpPr>
      <xdr:spPr bwMode="auto">
        <a:xfrm>
          <a:off x="74333100" y="9172575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102</xdr:col>
      <xdr:colOff>0</xdr:colOff>
      <xdr:row>43</xdr:row>
      <xdr:rowOff>0</xdr:rowOff>
    </xdr:from>
    <xdr:to>
      <xdr:col>102</xdr:col>
      <xdr:colOff>19050</xdr:colOff>
      <xdr:row>43</xdr:row>
      <xdr:rowOff>142875</xdr:rowOff>
    </xdr:to>
    <xdr:sp macro="" textlink="">
      <xdr:nvSpPr>
        <xdr:cNvPr id="315828" name="Rectangle 28"/>
        <xdr:cNvSpPr>
          <a:spLocks noChangeArrowheads="1"/>
        </xdr:cNvSpPr>
      </xdr:nvSpPr>
      <xdr:spPr bwMode="auto">
        <a:xfrm>
          <a:off x="74333100" y="9172575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102</xdr:col>
      <xdr:colOff>0</xdr:colOff>
      <xdr:row>43</xdr:row>
      <xdr:rowOff>0</xdr:rowOff>
    </xdr:from>
    <xdr:to>
      <xdr:col>102</xdr:col>
      <xdr:colOff>19050</xdr:colOff>
      <xdr:row>43</xdr:row>
      <xdr:rowOff>142875</xdr:rowOff>
    </xdr:to>
    <xdr:sp macro="" textlink="">
      <xdr:nvSpPr>
        <xdr:cNvPr id="315829" name="Rectangle 27"/>
        <xdr:cNvSpPr>
          <a:spLocks noChangeArrowheads="1"/>
        </xdr:cNvSpPr>
      </xdr:nvSpPr>
      <xdr:spPr bwMode="auto">
        <a:xfrm>
          <a:off x="74333100" y="9172575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102</xdr:col>
      <xdr:colOff>0</xdr:colOff>
      <xdr:row>43</xdr:row>
      <xdr:rowOff>0</xdr:rowOff>
    </xdr:from>
    <xdr:to>
      <xdr:col>102</xdr:col>
      <xdr:colOff>19050</xdr:colOff>
      <xdr:row>43</xdr:row>
      <xdr:rowOff>142875</xdr:rowOff>
    </xdr:to>
    <xdr:sp macro="" textlink="">
      <xdr:nvSpPr>
        <xdr:cNvPr id="315830" name="Rectangle 28"/>
        <xdr:cNvSpPr>
          <a:spLocks noChangeArrowheads="1"/>
        </xdr:cNvSpPr>
      </xdr:nvSpPr>
      <xdr:spPr bwMode="auto">
        <a:xfrm>
          <a:off x="74333100" y="9172575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102</xdr:col>
      <xdr:colOff>0</xdr:colOff>
      <xdr:row>43</xdr:row>
      <xdr:rowOff>0</xdr:rowOff>
    </xdr:from>
    <xdr:to>
      <xdr:col>102</xdr:col>
      <xdr:colOff>19050</xdr:colOff>
      <xdr:row>43</xdr:row>
      <xdr:rowOff>142875</xdr:rowOff>
    </xdr:to>
    <xdr:sp macro="" textlink="">
      <xdr:nvSpPr>
        <xdr:cNvPr id="315831" name="Rectangle 27"/>
        <xdr:cNvSpPr>
          <a:spLocks noChangeArrowheads="1"/>
        </xdr:cNvSpPr>
      </xdr:nvSpPr>
      <xdr:spPr bwMode="auto">
        <a:xfrm>
          <a:off x="74333100" y="9172575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102</xdr:col>
      <xdr:colOff>0</xdr:colOff>
      <xdr:row>43</xdr:row>
      <xdr:rowOff>0</xdr:rowOff>
    </xdr:from>
    <xdr:to>
      <xdr:col>102</xdr:col>
      <xdr:colOff>19050</xdr:colOff>
      <xdr:row>43</xdr:row>
      <xdr:rowOff>142875</xdr:rowOff>
    </xdr:to>
    <xdr:sp macro="" textlink="">
      <xdr:nvSpPr>
        <xdr:cNvPr id="315832" name="Rectangle 28"/>
        <xdr:cNvSpPr>
          <a:spLocks noChangeArrowheads="1"/>
        </xdr:cNvSpPr>
      </xdr:nvSpPr>
      <xdr:spPr bwMode="auto">
        <a:xfrm>
          <a:off x="74333100" y="9172575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102</xdr:col>
      <xdr:colOff>0</xdr:colOff>
      <xdr:row>43</xdr:row>
      <xdr:rowOff>0</xdr:rowOff>
    </xdr:from>
    <xdr:to>
      <xdr:col>102</xdr:col>
      <xdr:colOff>19050</xdr:colOff>
      <xdr:row>43</xdr:row>
      <xdr:rowOff>142875</xdr:rowOff>
    </xdr:to>
    <xdr:sp macro="" textlink="">
      <xdr:nvSpPr>
        <xdr:cNvPr id="315833" name="Rectangle 27"/>
        <xdr:cNvSpPr>
          <a:spLocks noChangeArrowheads="1"/>
        </xdr:cNvSpPr>
      </xdr:nvSpPr>
      <xdr:spPr bwMode="auto">
        <a:xfrm>
          <a:off x="74333100" y="9172575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102</xdr:col>
      <xdr:colOff>0</xdr:colOff>
      <xdr:row>43</xdr:row>
      <xdr:rowOff>0</xdr:rowOff>
    </xdr:from>
    <xdr:to>
      <xdr:col>102</xdr:col>
      <xdr:colOff>19050</xdr:colOff>
      <xdr:row>43</xdr:row>
      <xdr:rowOff>142875</xdr:rowOff>
    </xdr:to>
    <xdr:sp macro="" textlink="">
      <xdr:nvSpPr>
        <xdr:cNvPr id="315834" name="Rectangle 28"/>
        <xdr:cNvSpPr>
          <a:spLocks noChangeArrowheads="1"/>
        </xdr:cNvSpPr>
      </xdr:nvSpPr>
      <xdr:spPr bwMode="auto">
        <a:xfrm>
          <a:off x="74333100" y="9172575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102</xdr:col>
      <xdr:colOff>0</xdr:colOff>
      <xdr:row>43</xdr:row>
      <xdr:rowOff>0</xdr:rowOff>
    </xdr:from>
    <xdr:to>
      <xdr:col>102</xdr:col>
      <xdr:colOff>19050</xdr:colOff>
      <xdr:row>43</xdr:row>
      <xdr:rowOff>142875</xdr:rowOff>
    </xdr:to>
    <xdr:sp macro="" textlink="">
      <xdr:nvSpPr>
        <xdr:cNvPr id="315835" name="Rectangle 27"/>
        <xdr:cNvSpPr>
          <a:spLocks noChangeArrowheads="1"/>
        </xdr:cNvSpPr>
      </xdr:nvSpPr>
      <xdr:spPr bwMode="auto">
        <a:xfrm>
          <a:off x="74333100" y="9172575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102</xdr:col>
      <xdr:colOff>0</xdr:colOff>
      <xdr:row>43</xdr:row>
      <xdr:rowOff>0</xdr:rowOff>
    </xdr:from>
    <xdr:to>
      <xdr:col>102</xdr:col>
      <xdr:colOff>19050</xdr:colOff>
      <xdr:row>43</xdr:row>
      <xdr:rowOff>142875</xdr:rowOff>
    </xdr:to>
    <xdr:sp macro="" textlink="">
      <xdr:nvSpPr>
        <xdr:cNvPr id="315836" name="Rectangle 28"/>
        <xdr:cNvSpPr>
          <a:spLocks noChangeArrowheads="1"/>
        </xdr:cNvSpPr>
      </xdr:nvSpPr>
      <xdr:spPr bwMode="auto">
        <a:xfrm>
          <a:off x="74333100" y="9172575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102</xdr:col>
      <xdr:colOff>0</xdr:colOff>
      <xdr:row>43</xdr:row>
      <xdr:rowOff>0</xdr:rowOff>
    </xdr:from>
    <xdr:to>
      <xdr:col>102</xdr:col>
      <xdr:colOff>19050</xdr:colOff>
      <xdr:row>43</xdr:row>
      <xdr:rowOff>142875</xdr:rowOff>
    </xdr:to>
    <xdr:sp macro="" textlink="">
      <xdr:nvSpPr>
        <xdr:cNvPr id="315837" name="Rectangle 27"/>
        <xdr:cNvSpPr>
          <a:spLocks noChangeArrowheads="1"/>
        </xdr:cNvSpPr>
      </xdr:nvSpPr>
      <xdr:spPr bwMode="auto">
        <a:xfrm>
          <a:off x="74333100" y="9172575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102</xdr:col>
      <xdr:colOff>0</xdr:colOff>
      <xdr:row>43</xdr:row>
      <xdr:rowOff>0</xdr:rowOff>
    </xdr:from>
    <xdr:to>
      <xdr:col>102</xdr:col>
      <xdr:colOff>19050</xdr:colOff>
      <xdr:row>43</xdr:row>
      <xdr:rowOff>142875</xdr:rowOff>
    </xdr:to>
    <xdr:sp macro="" textlink="">
      <xdr:nvSpPr>
        <xdr:cNvPr id="315838" name="Rectangle 28"/>
        <xdr:cNvSpPr>
          <a:spLocks noChangeArrowheads="1"/>
        </xdr:cNvSpPr>
      </xdr:nvSpPr>
      <xdr:spPr bwMode="auto">
        <a:xfrm>
          <a:off x="74333100" y="9172575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102</xdr:col>
      <xdr:colOff>0</xdr:colOff>
      <xdr:row>43</xdr:row>
      <xdr:rowOff>0</xdr:rowOff>
    </xdr:from>
    <xdr:to>
      <xdr:col>102</xdr:col>
      <xdr:colOff>19050</xdr:colOff>
      <xdr:row>43</xdr:row>
      <xdr:rowOff>142875</xdr:rowOff>
    </xdr:to>
    <xdr:sp macro="" textlink="">
      <xdr:nvSpPr>
        <xdr:cNvPr id="315839" name="Rectangle 27"/>
        <xdr:cNvSpPr>
          <a:spLocks noChangeArrowheads="1"/>
        </xdr:cNvSpPr>
      </xdr:nvSpPr>
      <xdr:spPr bwMode="auto">
        <a:xfrm>
          <a:off x="74333100" y="9172575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102</xdr:col>
      <xdr:colOff>0</xdr:colOff>
      <xdr:row>43</xdr:row>
      <xdr:rowOff>0</xdr:rowOff>
    </xdr:from>
    <xdr:to>
      <xdr:col>102</xdr:col>
      <xdr:colOff>19050</xdr:colOff>
      <xdr:row>43</xdr:row>
      <xdr:rowOff>142875</xdr:rowOff>
    </xdr:to>
    <xdr:sp macro="" textlink="">
      <xdr:nvSpPr>
        <xdr:cNvPr id="315840" name="Rectangle 28"/>
        <xdr:cNvSpPr>
          <a:spLocks noChangeArrowheads="1"/>
        </xdr:cNvSpPr>
      </xdr:nvSpPr>
      <xdr:spPr bwMode="auto">
        <a:xfrm>
          <a:off x="74333100" y="9172575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102</xdr:col>
      <xdr:colOff>0</xdr:colOff>
      <xdr:row>43</xdr:row>
      <xdr:rowOff>0</xdr:rowOff>
    </xdr:from>
    <xdr:to>
      <xdr:col>102</xdr:col>
      <xdr:colOff>19050</xdr:colOff>
      <xdr:row>43</xdr:row>
      <xdr:rowOff>142875</xdr:rowOff>
    </xdr:to>
    <xdr:sp macro="" textlink="">
      <xdr:nvSpPr>
        <xdr:cNvPr id="315841" name="Rectangle 27"/>
        <xdr:cNvSpPr>
          <a:spLocks noChangeArrowheads="1"/>
        </xdr:cNvSpPr>
      </xdr:nvSpPr>
      <xdr:spPr bwMode="auto">
        <a:xfrm>
          <a:off x="74333100" y="9172575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102</xdr:col>
      <xdr:colOff>0</xdr:colOff>
      <xdr:row>43</xdr:row>
      <xdr:rowOff>0</xdr:rowOff>
    </xdr:from>
    <xdr:to>
      <xdr:col>102</xdr:col>
      <xdr:colOff>19050</xdr:colOff>
      <xdr:row>43</xdr:row>
      <xdr:rowOff>142875</xdr:rowOff>
    </xdr:to>
    <xdr:sp macro="" textlink="">
      <xdr:nvSpPr>
        <xdr:cNvPr id="315842" name="Rectangle 28"/>
        <xdr:cNvSpPr>
          <a:spLocks noChangeArrowheads="1"/>
        </xdr:cNvSpPr>
      </xdr:nvSpPr>
      <xdr:spPr bwMode="auto">
        <a:xfrm>
          <a:off x="74333100" y="9172575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102</xdr:col>
      <xdr:colOff>0</xdr:colOff>
      <xdr:row>43</xdr:row>
      <xdr:rowOff>0</xdr:rowOff>
    </xdr:from>
    <xdr:to>
      <xdr:col>102</xdr:col>
      <xdr:colOff>19050</xdr:colOff>
      <xdr:row>43</xdr:row>
      <xdr:rowOff>142875</xdr:rowOff>
    </xdr:to>
    <xdr:sp macro="" textlink="">
      <xdr:nvSpPr>
        <xdr:cNvPr id="315843" name="Rectangle 27"/>
        <xdr:cNvSpPr>
          <a:spLocks noChangeArrowheads="1"/>
        </xdr:cNvSpPr>
      </xdr:nvSpPr>
      <xdr:spPr bwMode="auto">
        <a:xfrm>
          <a:off x="74333100" y="9172575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102</xdr:col>
      <xdr:colOff>0</xdr:colOff>
      <xdr:row>43</xdr:row>
      <xdr:rowOff>0</xdr:rowOff>
    </xdr:from>
    <xdr:to>
      <xdr:col>102</xdr:col>
      <xdr:colOff>19050</xdr:colOff>
      <xdr:row>43</xdr:row>
      <xdr:rowOff>142875</xdr:rowOff>
    </xdr:to>
    <xdr:sp macro="" textlink="">
      <xdr:nvSpPr>
        <xdr:cNvPr id="315844" name="Rectangle 28"/>
        <xdr:cNvSpPr>
          <a:spLocks noChangeArrowheads="1"/>
        </xdr:cNvSpPr>
      </xdr:nvSpPr>
      <xdr:spPr bwMode="auto">
        <a:xfrm>
          <a:off x="74333100" y="9172575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102</xdr:col>
      <xdr:colOff>0</xdr:colOff>
      <xdr:row>43</xdr:row>
      <xdr:rowOff>0</xdr:rowOff>
    </xdr:from>
    <xdr:to>
      <xdr:col>102</xdr:col>
      <xdr:colOff>19050</xdr:colOff>
      <xdr:row>43</xdr:row>
      <xdr:rowOff>142875</xdr:rowOff>
    </xdr:to>
    <xdr:sp macro="" textlink="">
      <xdr:nvSpPr>
        <xdr:cNvPr id="315845" name="Rectangle 27"/>
        <xdr:cNvSpPr>
          <a:spLocks noChangeArrowheads="1"/>
        </xdr:cNvSpPr>
      </xdr:nvSpPr>
      <xdr:spPr bwMode="auto">
        <a:xfrm>
          <a:off x="74333100" y="9172575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102</xdr:col>
      <xdr:colOff>0</xdr:colOff>
      <xdr:row>43</xdr:row>
      <xdr:rowOff>0</xdr:rowOff>
    </xdr:from>
    <xdr:to>
      <xdr:col>102</xdr:col>
      <xdr:colOff>19050</xdr:colOff>
      <xdr:row>43</xdr:row>
      <xdr:rowOff>142875</xdr:rowOff>
    </xdr:to>
    <xdr:sp macro="" textlink="">
      <xdr:nvSpPr>
        <xdr:cNvPr id="315846" name="Rectangle 28"/>
        <xdr:cNvSpPr>
          <a:spLocks noChangeArrowheads="1"/>
        </xdr:cNvSpPr>
      </xdr:nvSpPr>
      <xdr:spPr bwMode="auto">
        <a:xfrm>
          <a:off x="74333100" y="9172575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102</xdr:col>
      <xdr:colOff>0</xdr:colOff>
      <xdr:row>43</xdr:row>
      <xdr:rowOff>0</xdr:rowOff>
    </xdr:from>
    <xdr:to>
      <xdr:col>102</xdr:col>
      <xdr:colOff>19050</xdr:colOff>
      <xdr:row>43</xdr:row>
      <xdr:rowOff>142875</xdr:rowOff>
    </xdr:to>
    <xdr:sp macro="" textlink="">
      <xdr:nvSpPr>
        <xdr:cNvPr id="315847" name="Rectangle 27"/>
        <xdr:cNvSpPr>
          <a:spLocks noChangeArrowheads="1"/>
        </xdr:cNvSpPr>
      </xdr:nvSpPr>
      <xdr:spPr bwMode="auto">
        <a:xfrm>
          <a:off x="74333100" y="9172575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102</xdr:col>
      <xdr:colOff>0</xdr:colOff>
      <xdr:row>43</xdr:row>
      <xdr:rowOff>0</xdr:rowOff>
    </xdr:from>
    <xdr:to>
      <xdr:col>102</xdr:col>
      <xdr:colOff>19050</xdr:colOff>
      <xdr:row>43</xdr:row>
      <xdr:rowOff>142875</xdr:rowOff>
    </xdr:to>
    <xdr:sp macro="" textlink="">
      <xdr:nvSpPr>
        <xdr:cNvPr id="315848" name="Rectangle 28"/>
        <xdr:cNvSpPr>
          <a:spLocks noChangeArrowheads="1"/>
        </xdr:cNvSpPr>
      </xdr:nvSpPr>
      <xdr:spPr bwMode="auto">
        <a:xfrm>
          <a:off x="74333100" y="9172575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102</xdr:col>
      <xdr:colOff>0</xdr:colOff>
      <xdr:row>43</xdr:row>
      <xdr:rowOff>0</xdr:rowOff>
    </xdr:from>
    <xdr:to>
      <xdr:col>102</xdr:col>
      <xdr:colOff>19050</xdr:colOff>
      <xdr:row>43</xdr:row>
      <xdr:rowOff>142875</xdr:rowOff>
    </xdr:to>
    <xdr:sp macro="" textlink="">
      <xdr:nvSpPr>
        <xdr:cNvPr id="315849" name="Rectangle 27"/>
        <xdr:cNvSpPr>
          <a:spLocks noChangeArrowheads="1"/>
        </xdr:cNvSpPr>
      </xdr:nvSpPr>
      <xdr:spPr bwMode="auto">
        <a:xfrm>
          <a:off x="74333100" y="9172575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102</xdr:col>
      <xdr:colOff>0</xdr:colOff>
      <xdr:row>43</xdr:row>
      <xdr:rowOff>0</xdr:rowOff>
    </xdr:from>
    <xdr:to>
      <xdr:col>102</xdr:col>
      <xdr:colOff>19050</xdr:colOff>
      <xdr:row>43</xdr:row>
      <xdr:rowOff>142875</xdr:rowOff>
    </xdr:to>
    <xdr:sp macro="" textlink="">
      <xdr:nvSpPr>
        <xdr:cNvPr id="315850" name="Rectangle 28"/>
        <xdr:cNvSpPr>
          <a:spLocks noChangeArrowheads="1"/>
        </xdr:cNvSpPr>
      </xdr:nvSpPr>
      <xdr:spPr bwMode="auto">
        <a:xfrm>
          <a:off x="74333100" y="9172575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102</xdr:col>
      <xdr:colOff>0</xdr:colOff>
      <xdr:row>43</xdr:row>
      <xdr:rowOff>0</xdr:rowOff>
    </xdr:from>
    <xdr:to>
      <xdr:col>102</xdr:col>
      <xdr:colOff>19050</xdr:colOff>
      <xdr:row>43</xdr:row>
      <xdr:rowOff>142875</xdr:rowOff>
    </xdr:to>
    <xdr:sp macro="" textlink="">
      <xdr:nvSpPr>
        <xdr:cNvPr id="315851" name="Rectangle 27"/>
        <xdr:cNvSpPr>
          <a:spLocks noChangeArrowheads="1"/>
        </xdr:cNvSpPr>
      </xdr:nvSpPr>
      <xdr:spPr bwMode="auto">
        <a:xfrm>
          <a:off x="74333100" y="9172575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102</xdr:col>
      <xdr:colOff>0</xdr:colOff>
      <xdr:row>43</xdr:row>
      <xdr:rowOff>0</xdr:rowOff>
    </xdr:from>
    <xdr:to>
      <xdr:col>102</xdr:col>
      <xdr:colOff>19050</xdr:colOff>
      <xdr:row>43</xdr:row>
      <xdr:rowOff>142875</xdr:rowOff>
    </xdr:to>
    <xdr:sp macro="" textlink="">
      <xdr:nvSpPr>
        <xdr:cNvPr id="315852" name="Rectangle 28"/>
        <xdr:cNvSpPr>
          <a:spLocks noChangeArrowheads="1"/>
        </xdr:cNvSpPr>
      </xdr:nvSpPr>
      <xdr:spPr bwMode="auto">
        <a:xfrm>
          <a:off x="74333100" y="9172575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102</xdr:col>
      <xdr:colOff>0</xdr:colOff>
      <xdr:row>43</xdr:row>
      <xdr:rowOff>0</xdr:rowOff>
    </xdr:from>
    <xdr:to>
      <xdr:col>102</xdr:col>
      <xdr:colOff>19050</xdr:colOff>
      <xdr:row>43</xdr:row>
      <xdr:rowOff>142875</xdr:rowOff>
    </xdr:to>
    <xdr:sp macro="" textlink="">
      <xdr:nvSpPr>
        <xdr:cNvPr id="315853" name="Rectangle 27"/>
        <xdr:cNvSpPr>
          <a:spLocks noChangeArrowheads="1"/>
        </xdr:cNvSpPr>
      </xdr:nvSpPr>
      <xdr:spPr bwMode="auto">
        <a:xfrm>
          <a:off x="74333100" y="9172575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102</xdr:col>
      <xdr:colOff>0</xdr:colOff>
      <xdr:row>43</xdr:row>
      <xdr:rowOff>0</xdr:rowOff>
    </xdr:from>
    <xdr:to>
      <xdr:col>102</xdr:col>
      <xdr:colOff>19050</xdr:colOff>
      <xdr:row>43</xdr:row>
      <xdr:rowOff>142875</xdr:rowOff>
    </xdr:to>
    <xdr:sp macro="" textlink="">
      <xdr:nvSpPr>
        <xdr:cNvPr id="315854" name="Rectangle 28"/>
        <xdr:cNvSpPr>
          <a:spLocks noChangeArrowheads="1"/>
        </xdr:cNvSpPr>
      </xdr:nvSpPr>
      <xdr:spPr bwMode="auto">
        <a:xfrm>
          <a:off x="74333100" y="9172575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102</xdr:col>
      <xdr:colOff>0</xdr:colOff>
      <xdr:row>43</xdr:row>
      <xdr:rowOff>0</xdr:rowOff>
    </xdr:from>
    <xdr:to>
      <xdr:col>102</xdr:col>
      <xdr:colOff>19050</xdr:colOff>
      <xdr:row>43</xdr:row>
      <xdr:rowOff>142875</xdr:rowOff>
    </xdr:to>
    <xdr:sp macro="" textlink="">
      <xdr:nvSpPr>
        <xdr:cNvPr id="315855" name="Rectangle 27"/>
        <xdr:cNvSpPr>
          <a:spLocks noChangeArrowheads="1"/>
        </xdr:cNvSpPr>
      </xdr:nvSpPr>
      <xdr:spPr bwMode="auto">
        <a:xfrm>
          <a:off x="74333100" y="9172575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102</xdr:col>
      <xdr:colOff>0</xdr:colOff>
      <xdr:row>43</xdr:row>
      <xdr:rowOff>0</xdr:rowOff>
    </xdr:from>
    <xdr:to>
      <xdr:col>102</xdr:col>
      <xdr:colOff>19050</xdr:colOff>
      <xdr:row>43</xdr:row>
      <xdr:rowOff>142875</xdr:rowOff>
    </xdr:to>
    <xdr:sp macro="" textlink="">
      <xdr:nvSpPr>
        <xdr:cNvPr id="315856" name="Rectangle 28"/>
        <xdr:cNvSpPr>
          <a:spLocks noChangeArrowheads="1"/>
        </xdr:cNvSpPr>
      </xdr:nvSpPr>
      <xdr:spPr bwMode="auto">
        <a:xfrm>
          <a:off x="74333100" y="9172575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102</xdr:col>
      <xdr:colOff>0</xdr:colOff>
      <xdr:row>43</xdr:row>
      <xdr:rowOff>0</xdr:rowOff>
    </xdr:from>
    <xdr:to>
      <xdr:col>102</xdr:col>
      <xdr:colOff>19050</xdr:colOff>
      <xdr:row>43</xdr:row>
      <xdr:rowOff>142875</xdr:rowOff>
    </xdr:to>
    <xdr:sp macro="" textlink="">
      <xdr:nvSpPr>
        <xdr:cNvPr id="315857" name="Rectangle 27"/>
        <xdr:cNvSpPr>
          <a:spLocks noChangeArrowheads="1"/>
        </xdr:cNvSpPr>
      </xdr:nvSpPr>
      <xdr:spPr bwMode="auto">
        <a:xfrm>
          <a:off x="74333100" y="9172575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102</xdr:col>
      <xdr:colOff>0</xdr:colOff>
      <xdr:row>43</xdr:row>
      <xdr:rowOff>0</xdr:rowOff>
    </xdr:from>
    <xdr:to>
      <xdr:col>102</xdr:col>
      <xdr:colOff>19050</xdr:colOff>
      <xdr:row>43</xdr:row>
      <xdr:rowOff>142875</xdr:rowOff>
    </xdr:to>
    <xdr:sp macro="" textlink="">
      <xdr:nvSpPr>
        <xdr:cNvPr id="315858" name="Rectangle 28"/>
        <xdr:cNvSpPr>
          <a:spLocks noChangeArrowheads="1"/>
        </xdr:cNvSpPr>
      </xdr:nvSpPr>
      <xdr:spPr bwMode="auto">
        <a:xfrm>
          <a:off x="74333100" y="9172575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102</xdr:col>
      <xdr:colOff>0</xdr:colOff>
      <xdr:row>43</xdr:row>
      <xdr:rowOff>0</xdr:rowOff>
    </xdr:from>
    <xdr:to>
      <xdr:col>102</xdr:col>
      <xdr:colOff>19050</xdr:colOff>
      <xdr:row>43</xdr:row>
      <xdr:rowOff>190500</xdr:rowOff>
    </xdr:to>
    <xdr:sp macro="" textlink="">
      <xdr:nvSpPr>
        <xdr:cNvPr id="315859" name="Rectangle 27"/>
        <xdr:cNvSpPr>
          <a:spLocks noChangeArrowheads="1"/>
        </xdr:cNvSpPr>
      </xdr:nvSpPr>
      <xdr:spPr bwMode="auto">
        <a:xfrm>
          <a:off x="74333100" y="9172575"/>
          <a:ext cx="190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102</xdr:col>
      <xdr:colOff>0</xdr:colOff>
      <xdr:row>43</xdr:row>
      <xdr:rowOff>0</xdr:rowOff>
    </xdr:from>
    <xdr:to>
      <xdr:col>102</xdr:col>
      <xdr:colOff>19050</xdr:colOff>
      <xdr:row>43</xdr:row>
      <xdr:rowOff>190500</xdr:rowOff>
    </xdr:to>
    <xdr:sp macro="" textlink="">
      <xdr:nvSpPr>
        <xdr:cNvPr id="315860" name="Rectangle 28"/>
        <xdr:cNvSpPr>
          <a:spLocks noChangeArrowheads="1"/>
        </xdr:cNvSpPr>
      </xdr:nvSpPr>
      <xdr:spPr bwMode="auto">
        <a:xfrm>
          <a:off x="74333100" y="9172575"/>
          <a:ext cx="190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102</xdr:col>
      <xdr:colOff>0</xdr:colOff>
      <xdr:row>43</xdr:row>
      <xdr:rowOff>0</xdr:rowOff>
    </xdr:from>
    <xdr:to>
      <xdr:col>102</xdr:col>
      <xdr:colOff>19050</xdr:colOff>
      <xdr:row>43</xdr:row>
      <xdr:rowOff>190500</xdr:rowOff>
    </xdr:to>
    <xdr:sp macro="" textlink="">
      <xdr:nvSpPr>
        <xdr:cNvPr id="315861" name="Rectangle 28"/>
        <xdr:cNvSpPr>
          <a:spLocks noChangeArrowheads="1"/>
        </xdr:cNvSpPr>
      </xdr:nvSpPr>
      <xdr:spPr bwMode="auto">
        <a:xfrm>
          <a:off x="74333100" y="9172575"/>
          <a:ext cx="190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102</xdr:col>
      <xdr:colOff>0</xdr:colOff>
      <xdr:row>43</xdr:row>
      <xdr:rowOff>0</xdr:rowOff>
    </xdr:from>
    <xdr:to>
      <xdr:col>102</xdr:col>
      <xdr:colOff>19050</xdr:colOff>
      <xdr:row>43</xdr:row>
      <xdr:rowOff>190500</xdr:rowOff>
    </xdr:to>
    <xdr:sp macro="" textlink="">
      <xdr:nvSpPr>
        <xdr:cNvPr id="315862" name="Rectangle 28"/>
        <xdr:cNvSpPr>
          <a:spLocks noChangeArrowheads="1"/>
        </xdr:cNvSpPr>
      </xdr:nvSpPr>
      <xdr:spPr bwMode="auto">
        <a:xfrm>
          <a:off x="74333100" y="9172575"/>
          <a:ext cx="190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102</xdr:col>
      <xdr:colOff>0</xdr:colOff>
      <xdr:row>43</xdr:row>
      <xdr:rowOff>0</xdr:rowOff>
    </xdr:from>
    <xdr:to>
      <xdr:col>102</xdr:col>
      <xdr:colOff>19050</xdr:colOff>
      <xdr:row>43</xdr:row>
      <xdr:rowOff>190500</xdr:rowOff>
    </xdr:to>
    <xdr:sp macro="" textlink="">
      <xdr:nvSpPr>
        <xdr:cNvPr id="315863" name="Rectangle 27"/>
        <xdr:cNvSpPr>
          <a:spLocks noChangeArrowheads="1"/>
        </xdr:cNvSpPr>
      </xdr:nvSpPr>
      <xdr:spPr bwMode="auto">
        <a:xfrm>
          <a:off x="74333100" y="9172575"/>
          <a:ext cx="190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102</xdr:col>
      <xdr:colOff>0</xdr:colOff>
      <xdr:row>43</xdr:row>
      <xdr:rowOff>0</xdr:rowOff>
    </xdr:from>
    <xdr:to>
      <xdr:col>102</xdr:col>
      <xdr:colOff>19050</xdr:colOff>
      <xdr:row>43</xdr:row>
      <xdr:rowOff>190500</xdr:rowOff>
    </xdr:to>
    <xdr:sp macro="" textlink="">
      <xdr:nvSpPr>
        <xdr:cNvPr id="315864" name="Rectangle 28"/>
        <xdr:cNvSpPr>
          <a:spLocks noChangeArrowheads="1"/>
        </xdr:cNvSpPr>
      </xdr:nvSpPr>
      <xdr:spPr bwMode="auto">
        <a:xfrm>
          <a:off x="74333100" y="9172575"/>
          <a:ext cx="190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102</xdr:col>
      <xdr:colOff>0</xdr:colOff>
      <xdr:row>43</xdr:row>
      <xdr:rowOff>0</xdr:rowOff>
    </xdr:from>
    <xdr:to>
      <xdr:col>102</xdr:col>
      <xdr:colOff>19050</xdr:colOff>
      <xdr:row>43</xdr:row>
      <xdr:rowOff>190500</xdr:rowOff>
    </xdr:to>
    <xdr:sp macro="" textlink="">
      <xdr:nvSpPr>
        <xdr:cNvPr id="315865" name="Rectangle 28"/>
        <xdr:cNvSpPr>
          <a:spLocks noChangeArrowheads="1"/>
        </xdr:cNvSpPr>
      </xdr:nvSpPr>
      <xdr:spPr bwMode="auto">
        <a:xfrm>
          <a:off x="74333100" y="9172575"/>
          <a:ext cx="190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102</xdr:col>
      <xdr:colOff>0</xdr:colOff>
      <xdr:row>43</xdr:row>
      <xdr:rowOff>0</xdr:rowOff>
    </xdr:from>
    <xdr:to>
      <xdr:col>102</xdr:col>
      <xdr:colOff>19050</xdr:colOff>
      <xdr:row>43</xdr:row>
      <xdr:rowOff>190500</xdr:rowOff>
    </xdr:to>
    <xdr:sp macro="" textlink="">
      <xdr:nvSpPr>
        <xdr:cNvPr id="315866" name="Rectangle 28"/>
        <xdr:cNvSpPr>
          <a:spLocks noChangeArrowheads="1"/>
        </xdr:cNvSpPr>
      </xdr:nvSpPr>
      <xdr:spPr bwMode="auto">
        <a:xfrm>
          <a:off x="74333100" y="9172575"/>
          <a:ext cx="190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102</xdr:col>
      <xdr:colOff>0</xdr:colOff>
      <xdr:row>43</xdr:row>
      <xdr:rowOff>0</xdr:rowOff>
    </xdr:from>
    <xdr:to>
      <xdr:col>102</xdr:col>
      <xdr:colOff>19050</xdr:colOff>
      <xdr:row>43</xdr:row>
      <xdr:rowOff>190500</xdr:rowOff>
    </xdr:to>
    <xdr:sp macro="" textlink="">
      <xdr:nvSpPr>
        <xdr:cNvPr id="315867" name="Rectangle 28"/>
        <xdr:cNvSpPr>
          <a:spLocks noChangeArrowheads="1"/>
        </xdr:cNvSpPr>
      </xdr:nvSpPr>
      <xdr:spPr bwMode="auto">
        <a:xfrm>
          <a:off x="74333100" y="9172575"/>
          <a:ext cx="190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102</xdr:col>
      <xdr:colOff>0</xdr:colOff>
      <xdr:row>43</xdr:row>
      <xdr:rowOff>0</xdr:rowOff>
    </xdr:from>
    <xdr:to>
      <xdr:col>102</xdr:col>
      <xdr:colOff>19050</xdr:colOff>
      <xdr:row>43</xdr:row>
      <xdr:rowOff>190500</xdr:rowOff>
    </xdr:to>
    <xdr:sp macro="" textlink="">
      <xdr:nvSpPr>
        <xdr:cNvPr id="315868" name="Rectangle 27"/>
        <xdr:cNvSpPr>
          <a:spLocks noChangeArrowheads="1"/>
        </xdr:cNvSpPr>
      </xdr:nvSpPr>
      <xdr:spPr bwMode="auto">
        <a:xfrm>
          <a:off x="74333100" y="9172575"/>
          <a:ext cx="190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102</xdr:col>
      <xdr:colOff>0</xdr:colOff>
      <xdr:row>43</xdr:row>
      <xdr:rowOff>0</xdr:rowOff>
    </xdr:from>
    <xdr:to>
      <xdr:col>102</xdr:col>
      <xdr:colOff>19050</xdr:colOff>
      <xdr:row>43</xdr:row>
      <xdr:rowOff>190500</xdr:rowOff>
    </xdr:to>
    <xdr:sp macro="" textlink="">
      <xdr:nvSpPr>
        <xdr:cNvPr id="315869" name="Rectangle 28"/>
        <xdr:cNvSpPr>
          <a:spLocks noChangeArrowheads="1"/>
        </xdr:cNvSpPr>
      </xdr:nvSpPr>
      <xdr:spPr bwMode="auto">
        <a:xfrm>
          <a:off x="74333100" y="9172575"/>
          <a:ext cx="190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102</xdr:col>
      <xdr:colOff>0</xdr:colOff>
      <xdr:row>43</xdr:row>
      <xdr:rowOff>0</xdr:rowOff>
    </xdr:from>
    <xdr:to>
      <xdr:col>102</xdr:col>
      <xdr:colOff>19050</xdr:colOff>
      <xdr:row>43</xdr:row>
      <xdr:rowOff>190500</xdr:rowOff>
    </xdr:to>
    <xdr:sp macro="" textlink="">
      <xdr:nvSpPr>
        <xdr:cNvPr id="315870" name="Rectangle 27"/>
        <xdr:cNvSpPr>
          <a:spLocks noChangeArrowheads="1"/>
        </xdr:cNvSpPr>
      </xdr:nvSpPr>
      <xdr:spPr bwMode="auto">
        <a:xfrm>
          <a:off x="74333100" y="9172575"/>
          <a:ext cx="190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102</xdr:col>
      <xdr:colOff>0</xdr:colOff>
      <xdr:row>43</xdr:row>
      <xdr:rowOff>0</xdr:rowOff>
    </xdr:from>
    <xdr:to>
      <xdr:col>102</xdr:col>
      <xdr:colOff>19050</xdr:colOff>
      <xdr:row>43</xdr:row>
      <xdr:rowOff>190500</xdr:rowOff>
    </xdr:to>
    <xdr:sp macro="" textlink="">
      <xdr:nvSpPr>
        <xdr:cNvPr id="315871" name="Rectangle 28"/>
        <xdr:cNvSpPr>
          <a:spLocks noChangeArrowheads="1"/>
        </xdr:cNvSpPr>
      </xdr:nvSpPr>
      <xdr:spPr bwMode="auto">
        <a:xfrm>
          <a:off x="74333100" y="9172575"/>
          <a:ext cx="190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102</xdr:col>
      <xdr:colOff>0</xdr:colOff>
      <xdr:row>43</xdr:row>
      <xdr:rowOff>0</xdr:rowOff>
    </xdr:from>
    <xdr:to>
      <xdr:col>102</xdr:col>
      <xdr:colOff>19050</xdr:colOff>
      <xdr:row>43</xdr:row>
      <xdr:rowOff>190500</xdr:rowOff>
    </xdr:to>
    <xdr:sp macro="" textlink="">
      <xdr:nvSpPr>
        <xdr:cNvPr id="315872" name="Rectangle 27"/>
        <xdr:cNvSpPr>
          <a:spLocks noChangeArrowheads="1"/>
        </xdr:cNvSpPr>
      </xdr:nvSpPr>
      <xdr:spPr bwMode="auto">
        <a:xfrm>
          <a:off x="74333100" y="9172575"/>
          <a:ext cx="190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102</xdr:col>
      <xdr:colOff>0</xdr:colOff>
      <xdr:row>43</xdr:row>
      <xdr:rowOff>0</xdr:rowOff>
    </xdr:from>
    <xdr:to>
      <xdr:col>102</xdr:col>
      <xdr:colOff>19050</xdr:colOff>
      <xdr:row>43</xdr:row>
      <xdr:rowOff>190500</xdr:rowOff>
    </xdr:to>
    <xdr:sp macro="" textlink="">
      <xdr:nvSpPr>
        <xdr:cNvPr id="315873" name="Rectangle 28"/>
        <xdr:cNvSpPr>
          <a:spLocks noChangeArrowheads="1"/>
        </xdr:cNvSpPr>
      </xdr:nvSpPr>
      <xdr:spPr bwMode="auto">
        <a:xfrm>
          <a:off x="74333100" y="9172575"/>
          <a:ext cx="190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102</xdr:col>
      <xdr:colOff>0</xdr:colOff>
      <xdr:row>43</xdr:row>
      <xdr:rowOff>0</xdr:rowOff>
    </xdr:from>
    <xdr:to>
      <xdr:col>102</xdr:col>
      <xdr:colOff>19050</xdr:colOff>
      <xdr:row>43</xdr:row>
      <xdr:rowOff>190500</xdr:rowOff>
    </xdr:to>
    <xdr:sp macro="" textlink="">
      <xdr:nvSpPr>
        <xdr:cNvPr id="315874" name="Rectangle 27"/>
        <xdr:cNvSpPr>
          <a:spLocks noChangeArrowheads="1"/>
        </xdr:cNvSpPr>
      </xdr:nvSpPr>
      <xdr:spPr bwMode="auto">
        <a:xfrm>
          <a:off x="74333100" y="9172575"/>
          <a:ext cx="190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102</xdr:col>
      <xdr:colOff>0</xdr:colOff>
      <xdr:row>43</xdr:row>
      <xdr:rowOff>0</xdr:rowOff>
    </xdr:from>
    <xdr:to>
      <xdr:col>102</xdr:col>
      <xdr:colOff>19050</xdr:colOff>
      <xdr:row>43</xdr:row>
      <xdr:rowOff>190500</xdr:rowOff>
    </xdr:to>
    <xdr:sp macro="" textlink="">
      <xdr:nvSpPr>
        <xdr:cNvPr id="315875" name="Rectangle 28"/>
        <xdr:cNvSpPr>
          <a:spLocks noChangeArrowheads="1"/>
        </xdr:cNvSpPr>
      </xdr:nvSpPr>
      <xdr:spPr bwMode="auto">
        <a:xfrm>
          <a:off x="74333100" y="9172575"/>
          <a:ext cx="190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102</xdr:col>
      <xdr:colOff>0</xdr:colOff>
      <xdr:row>43</xdr:row>
      <xdr:rowOff>0</xdr:rowOff>
    </xdr:from>
    <xdr:to>
      <xdr:col>102</xdr:col>
      <xdr:colOff>19050</xdr:colOff>
      <xdr:row>43</xdr:row>
      <xdr:rowOff>190500</xdr:rowOff>
    </xdr:to>
    <xdr:sp macro="" textlink="">
      <xdr:nvSpPr>
        <xdr:cNvPr id="315876" name="Rectangle 27"/>
        <xdr:cNvSpPr>
          <a:spLocks noChangeArrowheads="1"/>
        </xdr:cNvSpPr>
      </xdr:nvSpPr>
      <xdr:spPr bwMode="auto">
        <a:xfrm>
          <a:off x="74333100" y="9172575"/>
          <a:ext cx="190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102</xdr:col>
      <xdr:colOff>0</xdr:colOff>
      <xdr:row>43</xdr:row>
      <xdr:rowOff>0</xdr:rowOff>
    </xdr:from>
    <xdr:to>
      <xdr:col>102</xdr:col>
      <xdr:colOff>19050</xdr:colOff>
      <xdr:row>43</xdr:row>
      <xdr:rowOff>142875</xdr:rowOff>
    </xdr:to>
    <xdr:sp macro="" textlink="">
      <xdr:nvSpPr>
        <xdr:cNvPr id="315877" name="Rectangle 27"/>
        <xdr:cNvSpPr>
          <a:spLocks noChangeArrowheads="1"/>
        </xdr:cNvSpPr>
      </xdr:nvSpPr>
      <xdr:spPr bwMode="auto">
        <a:xfrm>
          <a:off x="74333100" y="9172575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102</xdr:col>
      <xdr:colOff>0</xdr:colOff>
      <xdr:row>43</xdr:row>
      <xdr:rowOff>0</xdr:rowOff>
    </xdr:from>
    <xdr:to>
      <xdr:col>102</xdr:col>
      <xdr:colOff>19050</xdr:colOff>
      <xdr:row>43</xdr:row>
      <xdr:rowOff>142875</xdr:rowOff>
    </xdr:to>
    <xdr:sp macro="" textlink="">
      <xdr:nvSpPr>
        <xdr:cNvPr id="315878" name="Rectangle 28"/>
        <xdr:cNvSpPr>
          <a:spLocks noChangeArrowheads="1"/>
        </xdr:cNvSpPr>
      </xdr:nvSpPr>
      <xdr:spPr bwMode="auto">
        <a:xfrm>
          <a:off x="74333100" y="9172575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102</xdr:col>
      <xdr:colOff>0</xdr:colOff>
      <xdr:row>43</xdr:row>
      <xdr:rowOff>0</xdr:rowOff>
    </xdr:from>
    <xdr:to>
      <xdr:col>102</xdr:col>
      <xdr:colOff>19050</xdr:colOff>
      <xdr:row>43</xdr:row>
      <xdr:rowOff>142875</xdr:rowOff>
    </xdr:to>
    <xdr:sp macro="" textlink="">
      <xdr:nvSpPr>
        <xdr:cNvPr id="315879" name="Rectangle 28"/>
        <xdr:cNvSpPr>
          <a:spLocks noChangeArrowheads="1"/>
        </xdr:cNvSpPr>
      </xdr:nvSpPr>
      <xdr:spPr bwMode="auto">
        <a:xfrm>
          <a:off x="74333100" y="9172575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102</xdr:col>
      <xdr:colOff>0</xdr:colOff>
      <xdr:row>43</xdr:row>
      <xdr:rowOff>0</xdr:rowOff>
    </xdr:from>
    <xdr:to>
      <xdr:col>102</xdr:col>
      <xdr:colOff>19050</xdr:colOff>
      <xdr:row>43</xdr:row>
      <xdr:rowOff>142875</xdr:rowOff>
    </xdr:to>
    <xdr:sp macro="" textlink="">
      <xdr:nvSpPr>
        <xdr:cNvPr id="315880" name="Rectangle 28"/>
        <xdr:cNvSpPr>
          <a:spLocks noChangeArrowheads="1"/>
        </xdr:cNvSpPr>
      </xdr:nvSpPr>
      <xdr:spPr bwMode="auto">
        <a:xfrm>
          <a:off x="74333100" y="9172575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102</xdr:col>
      <xdr:colOff>0</xdr:colOff>
      <xdr:row>43</xdr:row>
      <xdr:rowOff>0</xdr:rowOff>
    </xdr:from>
    <xdr:to>
      <xdr:col>102</xdr:col>
      <xdr:colOff>19050</xdr:colOff>
      <xdr:row>43</xdr:row>
      <xdr:rowOff>142875</xdr:rowOff>
    </xdr:to>
    <xdr:sp macro="" textlink="">
      <xdr:nvSpPr>
        <xdr:cNvPr id="315881" name="Rectangle 27"/>
        <xdr:cNvSpPr>
          <a:spLocks noChangeArrowheads="1"/>
        </xdr:cNvSpPr>
      </xdr:nvSpPr>
      <xdr:spPr bwMode="auto">
        <a:xfrm>
          <a:off x="74333100" y="9172575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102</xdr:col>
      <xdr:colOff>0</xdr:colOff>
      <xdr:row>43</xdr:row>
      <xdr:rowOff>0</xdr:rowOff>
    </xdr:from>
    <xdr:to>
      <xdr:col>102</xdr:col>
      <xdr:colOff>19050</xdr:colOff>
      <xdr:row>43</xdr:row>
      <xdr:rowOff>142875</xdr:rowOff>
    </xdr:to>
    <xdr:sp macro="" textlink="">
      <xdr:nvSpPr>
        <xdr:cNvPr id="315882" name="Rectangle 28"/>
        <xdr:cNvSpPr>
          <a:spLocks noChangeArrowheads="1"/>
        </xdr:cNvSpPr>
      </xdr:nvSpPr>
      <xdr:spPr bwMode="auto">
        <a:xfrm>
          <a:off x="74333100" y="9172575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102</xdr:col>
      <xdr:colOff>0</xdr:colOff>
      <xdr:row>43</xdr:row>
      <xdr:rowOff>0</xdr:rowOff>
    </xdr:from>
    <xdr:to>
      <xdr:col>102</xdr:col>
      <xdr:colOff>19050</xdr:colOff>
      <xdr:row>43</xdr:row>
      <xdr:rowOff>142875</xdr:rowOff>
    </xdr:to>
    <xdr:sp macro="" textlink="">
      <xdr:nvSpPr>
        <xdr:cNvPr id="315883" name="Rectangle 28"/>
        <xdr:cNvSpPr>
          <a:spLocks noChangeArrowheads="1"/>
        </xdr:cNvSpPr>
      </xdr:nvSpPr>
      <xdr:spPr bwMode="auto">
        <a:xfrm>
          <a:off x="74333100" y="9172575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102</xdr:col>
      <xdr:colOff>0</xdr:colOff>
      <xdr:row>43</xdr:row>
      <xdr:rowOff>0</xdr:rowOff>
    </xdr:from>
    <xdr:to>
      <xdr:col>102</xdr:col>
      <xdr:colOff>19050</xdr:colOff>
      <xdr:row>43</xdr:row>
      <xdr:rowOff>142875</xdr:rowOff>
    </xdr:to>
    <xdr:sp macro="" textlink="">
      <xdr:nvSpPr>
        <xdr:cNvPr id="315884" name="Rectangle 28"/>
        <xdr:cNvSpPr>
          <a:spLocks noChangeArrowheads="1"/>
        </xdr:cNvSpPr>
      </xdr:nvSpPr>
      <xdr:spPr bwMode="auto">
        <a:xfrm>
          <a:off x="74333100" y="9172575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102</xdr:col>
      <xdr:colOff>0</xdr:colOff>
      <xdr:row>43</xdr:row>
      <xdr:rowOff>0</xdr:rowOff>
    </xdr:from>
    <xdr:to>
      <xdr:col>102</xdr:col>
      <xdr:colOff>19050</xdr:colOff>
      <xdr:row>43</xdr:row>
      <xdr:rowOff>142875</xdr:rowOff>
    </xdr:to>
    <xdr:sp macro="" textlink="">
      <xdr:nvSpPr>
        <xdr:cNvPr id="315885" name="Rectangle 28"/>
        <xdr:cNvSpPr>
          <a:spLocks noChangeArrowheads="1"/>
        </xdr:cNvSpPr>
      </xdr:nvSpPr>
      <xdr:spPr bwMode="auto">
        <a:xfrm>
          <a:off x="74333100" y="9172575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102</xdr:col>
      <xdr:colOff>0</xdr:colOff>
      <xdr:row>43</xdr:row>
      <xdr:rowOff>0</xdr:rowOff>
    </xdr:from>
    <xdr:to>
      <xdr:col>102</xdr:col>
      <xdr:colOff>19050</xdr:colOff>
      <xdr:row>43</xdr:row>
      <xdr:rowOff>142875</xdr:rowOff>
    </xdr:to>
    <xdr:sp macro="" textlink="">
      <xdr:nvSpPr>
        <xdr:cNvPr id="315886" name="Rectangle 27"/>
        <xdr:cNvSpPr>
          <a:spLocks noChangeArrowheads="1"/>
        </xdr:cNvSpPr>
      </xdr:nvSpPr>
      <xdr:spPr bwMode="auto">
        <a:xfrm>
          <a:off x="74333100" y="9172575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102</xdr:col>
      <xdr:colOff>0</xdr:colOff>
      <xdr:row>43</xdr:row>
      <xdr:rowOff>0</xdr:rowOff>
    </xdr:from>
    <xdr:to>
      <xdr:col>102</xdr:col>
      <xdr:colOff>19050</xdr:colOff>
      <xdr:row>43</xdr:row>
      <xdr:rowOff>142875</xdr:rowOff>
    </xdr:to>
    <xdr:sp macro="" textlink="">
      <xdr:nvSpPr>
        <xdr:cNvPr id="315887" name="Rectangle 28"/>
        <xdr:cNvSpPr>
          <a:spLocks noChangeArrowheads="1"/>
        </xdr:cNvSpPr>
      </xdr:nvSpPr>
      <xdr:spPr bwMode="auto">
        <a:xfrm>
          <a:off x="74333100" y="9172575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102</xdr:col>
      <xdr:colOff>0</xdr:colOff>
      <xdr:row>43</xdr:row>
      <xdr:rowOff>0</xdr:rowOff>
    </xdr:from>
    <xdr:to>
      <xdr:col>102</xdr:col>
      <xdr:colOff>19050</xdr:colOff>
      <xdr:row>43</xdr:row>
      <xdr:rowOff>142875</xdr:rowOff>
    </xdr:to>
    <xdr:sp macro="" textlink="">
      <xdr:nvSpPr>
        <xdr:cNvPr id="315888" name="Rectangle 27"/>
        <xdr:cNvSpPr>
          <a:spLocks noChangeArrowheads="1"/>
        </xdr:cNvSpPr>
      </xdr:nvSpPr>
      <xdr:spPr bwMode="auto">
        <a:xfrm>
          <a:off x="74333100" y="9172575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102</xdr:col>
      <xdr:colOff>0</xdr:colOff>
      <xdr:row>43</xdr:row>
      <xdr:rowOff>0</xdr:rowOff>
    </xdr:from>
    <xdr:to>
      <xdr:col>102</xdr:col>
      <xdr:colOff>19050</xdr:colOff>
      <xdr:row>43</xdr:row>
      <xdr:rowOff>142875</xdr:rowOff>
    </xdr:to>
    <xdr:sp macro="" textlink="">
      <xdr:nvSpPr>
        <xdr:cNvPr id="315889" name="Rectangle 27"/>
        <xdr:cNvSpPr>
          <a:spLocks noChangeArrowheads="1"/>
        </xdr:cNvSpPr>
      </xdr:nvSpPr>
      <xdr:spPr bwMode="auto">
        <a:xfrm>
          <a:off x="74333100" y="9172575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102</xdr:col>
      <xdr:colOff>0</xdr:colOff>
      <xdr:row>43</xdr:row>
      <xdr:rowOff>0</xdr:rowOff>
    </xdr:from>
    <xdr:to>
      <xdr:col>102</xdr:col>
      <xdr:colOff>19050</xdr:colOff>
      <xdr:row>43</xdr:row>
      <xdr:rowOff>142875</xdr:rowOff>
    </xdr:to>
    <xdr:sp macro="" textlink="">
      <xdr:nvSpPr>
        <xdr:cNvPr id="315890" name="Rectangle 28"/>
        <xdr:cNvSpPr>
          <a:spLocks noChangeArrowheads="1"/>
        </xdr:cNvSpPr>
      </xdr:nvSpPr>
      <xdr:spPr bwMode="auto">
        <a:xfrm>
          <a:off x="74333100" y="9172575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102</xdr:col>
      <xdr:colOff>0</xdr:colOff>
      <xdr:row>43</xdr:row>
      <xdr:rowOff>0</xdr:rowOff>
    </xdr:from>
    <xdr:to>
      <xdr:col>102</xdr:col>
      <xdr:colOff>19050</xdr:colOff>
      <xdr:row>43</xdr:row>
      <xdr:rowOff>142875</xdr:rowOff>
    </xdr:to>
    <xdr:sp macro="" textlink="">
      <xdr:nvSpPr>
        <xdr:cNvPr id="315891" name="Rectangle 27"/>
        <xdr:cNvSpPr>
          <a:spLocks noChangeArrowheads="1"/>
        </xdr:cNvSpPr>
      </xdr:nvSpPr>
      <xdr:spPr bwMode="auto">
        <a:xfrm>
          <a:off x="74333100" y="9172575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102</xdr:col>
      <xdr:colOff>0</xdr:colOff>
      <xdr:row>43</xdr:row>
      <xdr:rowOff>0</xdr:rowOff>
    </xdr:from>
    <xdr:to>
      <xdr:col>102</xdr:col>
      <xdr:colOff>19050</xdr:colOff>
      <xdr:row>43</xdr:row>
      <xdr:rowOff>190500</xdr:rowOff>
    </xdr:to>
    <xdr:sp macro="" textlink="">
      <xdr:nvSpPr>
        <xdr:cNvPr id="315892" name="Rectangle 27"/>
        <xdr:cNvSpPr>
          <a:spLocks noChangeArrowheads="1"/>
        </xdr:cNvSpPr>
      </xdr:nvSpPr>
      <xdr:spPr bwMode="auto">
        <a:xfrm>
          <a:off x="74333100" y="9172575"/>
          <a:ext cx="190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102</xdr:col>
      <xdr:colOff>0</xdr:colOff>
      <xdr:row>43</xdr:row>
      <xdr:rowOff>0</xdr:rowOff>
    </xdr:from>
    <xdr:to>
      <xdr:col>102</xdr:col>
      <xdr:colOff>19050</xdr:colOff>
      <xdr:row>43</xdr:row>
      <xdr:rowOff>190500</xdr:rowOff>
    </xdr:to>
    <xdr:sp macro="" textlink="">
      <xdr:nvSpPr>
        <xdr:cNvPr id="315893" name="Rectangle 28"/>
        <xdr:cNvSpPr>
          <a:spLocks noChangeArrowheads="1"/>
        </xdr:cNvSpPr>
      </xdr:nvSpPr>
      <xdr:spPr bwMode="auto">
        <a:xfrm>
          <a:off x="74333100" y="9172575"/>
          <a:ext cx="190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102</xdr:col>
      <xdr:colOff>0</xdr:colOff>
      <xdr:row>43</xdr:row>
      <xdr:rowOff>0</xdr:rowOff>
    </xdr:from>
    <xdr:to>
      <xdr:col>102</xdr:col>
      <xdr:colOff>19050</xdr:colOff>
      <xdr:row>43</xdr:row>
      <xdr:rowOff>190500</xdr:rowOff>
    </xdr:to>
    <xdr:sp macro="" textlink="">
      <xdr:nvSpPr>
        <xdr:cNvPr id="315894" name="Rectangle 28"/>
        <xdr:cNvSpPr>
          <a:spLocks noChangeArrowheads="1"/>
        </xdr:cNvSpPr>
      </xdr:nvSpPr>
      <xdr:spPr bwMode="auto">
        <a:xfrm>
          <a:off x="74333100" y="9172575"/>
          <a:ext cx="190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102</xdr:col>
      <xdr:colOff>0</xdr:colOff>
      <xdr:row>43</xdr:row>
      <xdr:rowOff>0</xdr:rowOff>
    </xdr:from>
    <xdr:to>
      <xdr:col>102</xdr:col>
      <xdr:colOff>19050</xdr:colOff>
      <xdr:row>43</xdr:row>
      <xdr:rowOff>190500</xdr:rowOff>
    </xdr:to>
    <xdr:sp macro="" textlink="">
      <xdr:nvSpPr>
        <xdr:cNvPr id="315895" name="Rectangle 28"/>
        <xdr:cNvSpPr>
          <a:spLocks noChangeArrowheads="1"/>
        </xdr:cNvSpPr>
      </xdr:nvSpPr>
      <xdr:spPr bwMode="auto">
        <a:xfrm>
          <a:off x="74333100" y="9172575"/>
          <a:ext cx="190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102</xdr:col>
      <xdr:colOff>0</xdr:colOff>
      <xdr:row>43</xdr:row>
      <xdr:rowOff>0</xdr:rowOff>
    </xdr:from>
    <xdr:to>
      <xdr:col>102</xdr:col>
      <xdr:colOff>19050</xdr:colOff>
      <xdr:row>43</xdr:row>
      <xdr:rowOff>190500</xdr:rowOff>
    </xdr:to>
    <xdr:sp macro="" textlink="">
      <xdr:nvSpPr>
        <xdr:cNvPr id="315896" name="Rectangle 28"/>
        <xdr:cNvSpPr>
          <a:spLocks noChangeArrowheads="1"/>
        </xdr:cNvSpPr>
      </xdr:nvSpPr>
      <xdr:spPr bwMode="auto">
        <a:xfrm>
          <a:off x="74333100" y="9172575"/>
          <a:ext cx="190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102</xdr:col>
      <xdr:colOff>0</xdr:colOff>
      <xdr:row>43</xdr:row>
      <xdr:rowOff>0</xdr:rowOff>
    </xdr:from>
    <xdr:to>
      <xdr:col>102</xdr:col>
      <xdr:colOff>19050</xdr:colOff>
      <xdr:row>43</xdr:row>
      <xdr:rowOff>190500</xdr:rowOff>
    </xdr:to>
    <xdr:sp macro="" textlink="">
      <xdr:nvSpPr>
        <xdr:cNvPr id="315897" name="Rectangle 27"/>
        <xdr:cNvSpPr>
          <a:spLocks noChangeArrowheads="1"/>
        </xdr:cNvSpPr>
      </xdr:nvSpPr>
      <xdr:spPr bwMode="auto">
        <a:xfrm>
          <a:off x="74333100" y="9172575"/>
          <a:ext cx="190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102</xdr:col>
      <xdr:colOff>0</xdr:colOff>
      <xdr:row>43</xdr:row>
      <xdr:rowOff>0</xdr:rowOff>
    </xdr:from>
    <xdr:to>
      <xdr:col>102</xdr:col>
      <xdr:colOff>19050</xdr:colOff>
      <xdr:row>43</xdr:row>
      <xdr:rowOff>190500</xdr:rowOff>
    </xdr:to>
    <xdr:sp macro="" textlink="">
      <xdr:nvSpPr>
        <xdr:cNvPr id="315898" name="Rectangle 28"/>
        <xdr:cNvSpPr>
          <a:spLocks noChangeArrowheads="1"/>
        </xdr:cNvSpPr>
      </xdr:nvSpPr>
      <xdr:spPr bwMode="auto">
        <a:xfrm>
          <a:off x="74333100" y="9172575"/>
          <a:ext cx="190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102</xdr:col>
      <xdr:colOff>0</xdr:colOff>
      <xdr:row>43</xdr:row>
      <xdr:rowOff>0</xdr:rowOff>
    </xdr:from>
    <xdr:to>
      <xdr:col>102</xdr:col>
      <xdr:colOff>19050</xdr:colOff>
      <xdr:row>43</xdr:row>
      <xdr:rowOff>190500</xdr:rowOff>
    </xdr:to>
    <xdr:sp macro="" textlink="">
      <xdr:nvSpPr>
        <xdr:cNvPr id="315899" name="Rectangle 27"/>
        <xdr:cNvSpPr>
          <a:spLocks noChangeArrowheads="1"/>
        </xdr:cNvSpPr>
      </xdr:nvSpPr>
      <xdr:spPr bwMode="auto">
        <a:xfrm>
          <a:off x="74333100" y="9172575"/>
          <a:ext cx="190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102</xdr:col>
      <xdr:colOff>0</xdr:colOff>
      <xdr:row>43</xdr:row>
      <xdr:rowOff>0</xdr:rowOff>
    </xdr:from>
    <xdr:to>
      <xdr:col>102</xdr:col>
      <xdr:colOff>19050</xdr:colOff>
      <xdr:row>43</xdr:row>
      <xdr:rowOff>190500</xdr:rowOff>
    </xdr:to>
    <xdr:sp macro="" textlink="">
      <xdr:nvSpPr>
        <xdr:cNvPr id="315900" name="Rectangle 28"/>
        <xdr:cNvSpPr>
          <a:spLocks noChangeArrowheads="1"/>
        </xdr:cNvSpPr>
      </xdr:nvSpPr>
      <xdr:spPr bwMode="auto">
        <a:xfrm>
          <a:off x="74333100" y="9172575"/>
          <a:ext cx="190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102</xdr:col>
      <xdr:colOff>0</xdr:colOff>
      <xdr:row>43</xdr:row>
      <xdr:rowOff>0</xdr:rowOff>
    </xdr:from>
    <xdr:to>
      <xdr:col>102</xdr:col>
      <xdr:colOff>19050</xdr:colOff>
      <xdr:row>43</xdr:row>
      <xdr:rowOff>190500</xdr:rowOff>
    </xdr:to>
    <xdr:sp macro="" textlink="">
      <xdr:nvSpPr>
        <xdr:cNvPr id="315901" name="Rectangle 28"/>
        <xdr:cNvSpPr>
          <a:spLocks noChangeArrowheads="1"/>
        </xdr:cNvSpPr>
      </xdr:nvSpPr>
      <xdr:spPr bwMode="auto">
        <a:xfrm>
          <a:off x="74333100" y="9172575"/>
          <a:ext cx="190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102</xdr:col>
      <xdr:colOff>0</xdr:colOff>
      <xdr:row>43</xdr:row>
      <xdr:rowOff>0</xdr:rowOff>
    </xdr:from>
    <xdr:to>
      <xdr:col>102</xdr:col>
      <xdr:colOff>19050</xdr:colOff>
      <xdr:row>43</xdr:row>
      <xdr:rowOff>190500</xdr:rowOff>
    </xdr:to>
    <xdr:sp macro="" textlink="">
      <xdr:nvSpPr>
        <xdr:cNvPr id="315902" name="Rectangle 28"/>
        <xdr:cNvSpPr>
          <a:spLocks noChangeArrowheads="1"/>
        </xdr:cNvSpPr>
      </xdr:nvSpPr>
      <xdr:spPr bwMode="auto">
        <a:xfrm>
          <a:off x="74333100" y="9172575"/>
          <a:ext cx="190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102</xdr:col>
      <xdr:colOff>0</xdr:colOff>
      <xdr:row>43</xdr:row>
      <xdr:rowOff>0</xdr:rowOff>
    </xdr:from>
    <xdr:to>
      <xdr:col>102</xdr:col>
      <xdr:colOff>19050</xdr:colOff>
      <xdr:row>43</xdr:row>
      <xdr:rowOff>190500</xdr:rowOff>
    </xdr:to>
    <xdr:sp macro="" textlink="">
      <xdr:nvSpPr>
        <xdr:cNvPr id="315903" name="Rectangle 28"/>
        <xdr:cNvSpPr>
          <a:spLocks noChangeArrowheads="1"/>
        </xdr:cNvSpPr>
      </xdr:nvSpPr>
      <xdr:spPr bwMode="auto">
        <a:xfrm>
          <a:off x="74333100" y="9172575"/>
          <a:ext cx="190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102</xdr:col>
      <xdr:colOff>0</xdr:colOff>
      <xdr:row>43</xdr:row>
      <xdr:rowOff>0</xdr:rowOff>
    </xdr:from>
    <xdr:to>
      <xdr:col>102</xdr:col>
      <xdr:colOff>19050</xdr:colOff>
      <xdr:row>43</xdr:row>
      <xdr:rowOff>190500</xdr:rowOff>
    </xdr:to>
    <xdr:sp macro="" textlink="">
      <xdr:nvSpPr>
        <xdr:cNvPr id="315904" name="Rectangle 27"/>
        <xdr:cNvSpPr>
          <a:spLocks noChangeArrowheads="1"/>
        </xdr:cNvSpPr>
      </xdr:nvSpPr>
      <xdr:spPr bwMode="auto">
        <a:xfrm>
          <a:off x="74333100" y="9172575"/>
          <a:ext cx="190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102</xdr:col>
      <xdr:colOff>0</xdr:colOff>
      <xdr:row>43</xdr:row>
      <xdr:rowOff>0</xdr:rowOff>
    </xdr:from>
    <xdr:to>
      <xdr:col>102</xdr:col>
      <xdr:colOff>19050</xdr:colOff>
      <xdr:row>43</xdr:row>
      <xdr:rowOff>190500</xdr:rowOff>
    </xdr:to>
    <xdr:sp macro="" textlink="">
      <xdr:nvSpPr>
        <xdr:cNvPr id="315905" name="Rectangle 28"/>
        <xdr:cNvSpPr>
          <a:spLocks noChangeArrowheads="1"/>
        </xdr:cNvSpPr>
      </xdr:nvSpPr>
      <xdr:spPr bwMode="auto">
        <a:xfrm>
          <a:off x="74333100" y="9172575"/>
          <a:ext cx="190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102</xdr:col>
      <xdr:colOff>0</xdr:colOff>
      <xdr:row>43</xdr:row>
      <xdr:rowOff>0</xdr:rowOff>
    </xdr:from>
    <xdr:to>
      <xdr:col>102</xdr:col>
      <xdr:colOff>19050</xdr:colOff>
      <xdr:row>43</xdr:row>
      <xdr:rowOff>190500</xdr:rowOff>
    </xdr:to>
    <xdr:sp macro="" textlink="">
      <xdr:nvSpPr>
        <xdr:cNvPr id="315906" name="Rectangle 28"/>
        <xdr:cNvSpPr>
          <a:spLocks noChangeArrowheads="1"/>
        </xdr:cNvSpPr>
      </xdr:nvSpPr>
      <xdr:spPr bwMode="auto">
        <a:xfrm>
          <a:off x="74333100" y="9172575"/>
          <a:ext cx="190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102</xdr:col>
      <xdr:colOff>0</xdr:colOff>
      <xdr:row>43</xdr:row>
      <xdr:rowOff>0</xdr:rowOff>
    </xdr:from>
    <xdr:to>
      <xdr:col>102</xdr:col>
      <xdr:colOff>19050</xdr:colOff>
      <xdr:row>43</xdr:row>
      <xdr:rowOff>190500</xdr:rowOff>
    </xdr:to>
    <xdr:sp macro="" textlink="">
      <xdr:nvSpPr>
        <xdr:cNvPr id="315907" name="Rectangle 28"/>
        <xdr:cNvSpPr>
          <a:spLocks noChangeArrowheads="1"/>
        </xdr:cNvSpPr>
      </xdr:nvSpPr>
      <xdr:spPr bwMode="auto">
        <a:xfrm>
          <a:off x="74333100" y="9172575"/>
          <a:ext cx="190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102</xdr:col>
      <xdr:colOff>0</xdr:colOff>
      <xdr:row>43</xdr:row>
      <xdr:rowOff>0</xdr:rowOff>
    </xdr:from>
    <xdr:to>
      <xdr:col>102</xdr:col>
      <xdr:colOff>19050</xdr:colOff>
      <xdr:row>43</xdr:row>
      <xdr:rowOff>190500</xdr:rowOff>
    </xdr:to>
    <xdr:sp macro="" textlink="">
      <xdr:nvSpPr>
        <xdr:cNvPr id="315908" name="Rectangle 27"/>
        <xdr:cNvSpPr>
          <a:spLocks noChangeArrowheads="1"/>
        </xdr:cNvSpPr>
      </xdr:nvSpPr>
      <xdr:spPr bwMode="auto">
        <a:xfrm>
          <a:off x="74333100" y="9172575"/>
          <a:ext cx="190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102</xdr:col>
      <xdr:colOff>0</xdr:colOff>
      <xdr:row>43</xdr:row>
      <xdr:rowOff>0</xdr:rowOff>
    </xdr:from>
    <xdr:to>
      <xdr:col>102</xdr:col>
      <xdr:colOff>19050</xdr:colOff>
      <xdr:row>43</xdr:row>
      <xdr:rowOff>190500</xdr:rowOff>
    </xdr:to>
    <xdr:sp macro="" textlink="">
      <xdr:nvSpPr>
        <xdr:cNvPr id="315909" name="Rectangle 28"/>
        <xdr:cNvSpPr>
          <a:spLocks noChangeArrowheads="1"/>
        </xdr:cNvSpPr>
      </xdr:nvSpPr>
      <xdr:spPr bwMode="auto">
        <a:xfrm>
          <a:off x="74333100" y="9172575"/>
          <a:ext cx="190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102</xdr:col>
      <xdr:colOff>0</xdr:colOff>
      <xdr:row>43</xdr:row>
      <xdr:rowOff>0</xdr:rowOff>
    </xdr:from>
    <xdr:to>
      <xdr:col>102</xdr:col>
      <xdr:colOff>19050</xdr:colOff>
      <xdr:row>43</xdr:row>
      <xdr:rowOff>190500</xdr:rowOff>
    </xdr:to>
    <xdr:sp macro="" textlink="">
      <xdr:nvSpPr>
        <xdr:cNvPr id="315910" name="Rectangle 28"/>
        <xdr:cNvSpPr>
          <a:spLocks noChangeArrowheads="1"/>
        </xdr:cNvSpPr>
      </xdr:nvSpPr>
      <xdr:spPr bwMode="auto">
        <a:xfrm>
          <a:off x="74333100" y="9172575"/>
          <a:ext cx="190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102</xdr:col>
      <xdr:colOff>0</xdr:colOff>
      <xdr:row>43</xdr:row>
      <xdr:rowOff>0</xdr:rowOff>
    </xdr:from>
    <xdr:to>
      <xdr:col>102</xdr:col>
      <xdr:colOff>19050</xdr:colOff>
      <xdr:row>43</xdr:row>
      <xdr:rowOff>190500</xdr:rowOff>
    </xdr:to>
    <xdr:sp macro="" textlink="">
      <xdr:nvSpPr>
        <xdr:cNvPr id="315911" name="Rectangle 27"/>
        <xdr:cNvSpPr>
          <a:spLocks noChangeArrowheads="1"/>
        </xdr:cNvSpPr>
      </xdr:nvSpPr>
      <xdr:spPr bwMode="auto">
        <a:xfrm>
          <a:off x="74333100" y="9172575"/>
          <a:ext cx="190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102</xdr:col>
      <xdr:colOff>0</xdr:colOff>
      <xdr:row>43</xdr:row>
      <xdr:rowOff>0</xdr:rowOff>
    </xdr:from>
    <xdr:to>
      <xdr:col>102</xdr:col>
      <xdr:colOff>19050</xdr:colOff>
      <xdr:row>43</xdr:row>
      <xdr:rowOff>190500</xdr:rowOff>
    </xdr:to>
    <xdr:sp macro="" textlink="">
      <xdr:nvSpPr>
        <xdr:cNvPr id="315912" name="Rectangle 28"/>
        <xdr:cNvSpPr>
          <a:spLocks noChangeArrowheads="1"/>
        </xdr:cNvSpPr>
      </xdr:nvSpPr>
      <xdr:spPr bwMode="auto">
        <a:xfrm>
          <a:off x="74333100" y="9172575"/>
          <a:ext cx="190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102</xdr:col>
      <xdr:colOff>0</xdr:colOff>
      <xdr:row>43</xdr:row>
      <xdr:rowOff>0</xdr:rowOff>
    </xdr:from>
    <xdr:to>
      <xdr:col>102</xdr:col>
      <xdr:colOff>19050</xdr:colOff>
      <xdr:row>43</xdr:row>
      <xdr:rowOff>190500</xdr:rowOff>
    </xdr:to>
    <xdr:sp macro="" textlink="">
      <xdr:nvSpPr>
        <xdr:cNvPr id="315913" name="Rectangle 28"/>
        <xdr:cNvSpPr>
          <a:spLocks noChangeArrowheads="1"/>
        </xdr:cNvSpPr>
      </xdr:nvSpPr>
      <xdr:spPr bwMode="auto">
        <a:xfrm>
          <a:off x="74333100" y="9172575"/>
          <a:ext cx="190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102</xdr:col>
      <xdr:colOff>0</xdr:colOff>
      <xdr:row>43</xdr:row>
      <xdr:rowOff>0</xdr:rowOff>
    </xdr:from>
    <xdr:to>
      <xdr:col>102</xdr:col>
      <xdr:colOff>19050</xdr:colOff>
      <xdr:row>43</xdr:row>
      <xdr:rowOff>190500</xdr:rowOff>
    </xdr:to>
    <xdr:sp macro="" textlink="">
      <xdr:nvSpPr>
        <xdr:cNvPr id="315914" name="Rectangle 27"/>
        <xdr:cNvSpPr>
          <a:spLocks noChangeArrowheads="1"/>
        </xdr:cNvSpPr>
      </xdr:nvSpPr>
      <xdr:spPr bwMode="auto">
        <a:xfrm>
          <a:off x="74333100" y="9172575"/>
          <a:ext cx="190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102</xdr:col>
      <xdr:colOff>0</xdr:colOff>
      <xdr:row>43</xdr:row>
      <xdr:rowOff>0</xdr:rowOff>
    </xdr:from>
    <xdr:to>
      <xdr:col>102</xdr:col>
      <xdr:colOff>19050</xdr:colOff>
      <xdr:row>43</xdr:row>
      <xdr:rowOff>190500</xdr:rowOff>
    </xdr:to>
    <xdr:sp macro="" textlink="">
      <xdr:nvSpPr>
        <xdr:cNvPr id="315915" name="Rectangle 28"/>
        <xdr:cNvSpPr>
          <a:spLocks noChangeArrowheads="1"/>
        </xdr:cNvSpPr>
      </xdr:nvSpPr>
      <xdr:spPr bwMode="auto">
        <a:xfrm>
          <a:off x="74333100" y="9172575"/>
          <a:ext cx="190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102</xdr:col>
      <xdr:colOff>0</xdr:colOff>
      <xdr:row>43</xdr:row>
      <xdr:rowOff>0</xdr:rowOff>
    </xdr:from>
    <xdr:to>
      <xdr:col>102</xdr:col>
      <xdr:colOff>19050</xdr:colOff>
      <xdr:row>43</xdr:row>
      <xdr:rowOff>190500</xdr:rowOff>
    </xdr:to>
    <xdr:sp macro="" textlink="">
      <xdr:nvSpPr>
        <xdr:cNvPr id="315916" name="Rectangle 27"/>
        <xdr:cNvSpPr>
          <a:spLocks noChangeArrowheads="1"/>
        </xdr:cNvSpPr>
      </xdr:nvSpPr>
      <xdr:spPr bwMode="auto">
        <a:xfrm>
          <a:off x="74333100" y="9172575"/>
          <a:ext cx="190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102</xdr:col>
      <xdr:colOff>0</xdr:colOff>
      <xdr:row>43</xdr:row>
      <xdr:rowOff>0</xdr:rowOff>
    </xdr:from>
    <xdr:to>
      <xdr:col>102</xdr:col>
      <xdr:colOff>19050</xdr:colOff>
      <xdr:row>43</xdr:row>
      <xdr:rowOff>190500</xdr:rowOff>
    </xdr:to>
    <xdr:sp macro="" textlink="">
      <xdr:nvSpPr>
        <xdr:cNvPr id="315917" name="Rectangle 28"/>
        <xdr:cNvSpPr>
          <a:spLocks noChangeArrowheads="1"/>
        </xdr:cNvSpPr>
      </xdr:nvSpPr>
      <xdr:spPr bwMode="auto">
        <a:xfrm>
          <a:off x="74333100" y="9172575"/>
          <a:ext cx="190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102</xdr:col>
      <xdr:colOff>0</xdr:colOff>
      <xdr:row>43</xdr:row>
      <xdr:rowOff>0</xdr:rowOff>
    </xdr:from>
    <xdr:to>
      <xdr:col>102</xdr:col>
      <xdr:colOff>19050</xdr:colOff>
      <xdr:row>43</xdr:row>
      <xdr:rowOff>190500</xdr:rowOff>
    </xdr:to>
    <xdr:sp macro="" textlink="">
      <xdr:nvSpPr>
        <xdr:cNvPr id="315918" name="Rectangle 27"/>
        <xdr:cNvSpPr>
          <a:spLocks noChangeArrowheads="1"/>
        </xdr:cNvSpPr>
      </xdr:nvSpPr>
      <xdr:spPr bwMode="auto">
        <a:xfrm>
          <a:off x="74333100" y="9172575"/>
          <a:ext cx="190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102</xdr:col>
      <xdr:colOff>0</xdr:colOff>
      <xdr:row>43</xdr:row>
      <xdr:rowOff>0</xdr:rowOff>
    </xdr:from>
    <xdr:to>
      <xdr:col>102</xdr:col>
      <xdr:colOff>19050</xdr:colOff>
      <xdr:row>43</xdr:row>
      <xdr:rowOff>190500</xdr:rowOff>
    </xdr:to>
    <xdr:sp macro="" textlink="">
      <xdr:nvSpPr>
        <xdr:cNvPr id="315919" name="Rectangle 27"/>
        <xdr:cNvSpPr>
          <a:spLocks noChangeArrowheads="1"/>
        </xdr:cNvSpPr>
      </xdr:nvSpPr>
      <xdr:spPr bwMode="auto">
        <a:xfrm>
          <a:off x="74333100" y="9172575"/>
          <a:ext cx="190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102</xdr:col>
      <xdr:colOff>0</xdr:colOff>
      <xdr:row>43</xdr:row>
      <xdr:rowOff>0</xdr:rowOff>
    </xdr:from>
    <xdr:to>
      <xdr:col>102</xdr:col>
      <xdr:colOff>19050</xdr:colOff>
      <xdr:row>43</xdr:row>
      <xdr:rowOff>142875</xdr:rowOff>
    </xdr:to>
    <xdr:sp macro="" textlink="">
      <xdr:nvSpPr>
        <xdr:cNvPr id="315920" name="Rectangle 28"/>
        <xdr:cNvSpPr>
          <a:spLocks noChangeArrowheads="1"/>
        </xdr:cNvSpPr>
      </xdr:nvSpPr>
      <xdr:spPr bwMode="auto">
        <a:xfrm>
          <a:off x="74333100" y="9172575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102</xdr:col>
      <xdr:colOff>0</xdr:colOff>
      <xdr:row>43</xdr:row>
      <xdr:rowOff>0</xdr:rowOff>
    </xdr:from>
    <xdr:to>
      <xdr:col>102</xdr:col>
      <xdr:colOff>19050</xdr:colOff>
      <xdr:row>43</xdr:row>
      <xdr:rowOff>142875</xdr:rowOff>
    </xdr:to>
    <xdr:sp macro="" textlink="">
      <xdr:nvSpPr>
        <xdr:cNvPr id="315921" name="Rectangle 28"/>
        <xdr:cNvSpPr>
          <a:spLocks noChangeArrowheads="1"/>
        </xdr:cNvSpPr>
      </xdr:nvSpPr>
      <xdr:spPr bwMode="auto">
        <a:xfrm>
          <a:off x="74333100" y="9172575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102</xdr:col>
      <xdr:colOff>0</xdr:colOff>
      <xdr:row>43</xdr:row>
      <xdr:rowOff>0</xdr:rowOff>
    </xdr:from>
    <xdr:to>
      <xdr:col>102</xdr:col>
      <xdr:colOff>19050</xdr:colOff>
      <xdr:row>43</xdr:row>
      <xdr:rowOff>190500</xdr:rowOff>
    </xdr:to>
    <xdr:sp macro="" textlink="">
      <xdr:nvSpPr>
        <xdr:cNvPr id="315922" name="Rectangle 28"/>
        <xdr:cNvSpPr>
          <a:spLocks noChangeArrowheads="1"/>
        </xdr:cNvSpPr>
      </xdr:nvSpPr>
      <xdr:spPr bwMode="auto">
        <a:xfrm>
          <a:off x="74333100" y="9172575"/>
          <a:ext cx="190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103</xdr:col>
      <xdr:colOff>438150</xdr:colOff>
      <xdr:row>20</xdr:row>
      <xdr:rowOff>57150</xdr:rowOff>
    </xdr:from>
    <xdr:to>
      <xdr:col>104</xdr:col>
      <xdr:colOff>180975</xdr:colOff>
      <xdr:row>24</xdr:row>
      <xdr:rowOff>190500</xdr:rowOff>
    </xdr:to>
    <xdr:sp macro="" textlink="">
      <xdr:nvSpPr>
        <xdr:cNvPr id="315923" name="Obdélník 2728"/>
        <xdr:cNvSpPr>
          <a:spLocks noChangeArrowheads="1"/>
        </xdr:cNvSpPr>
      </xdr:nvSpPr>
      <xdr:spPr bwMode="auto">
        <a:xfrm>
          <a:off x="76352400" y="4629150"/>
          <a:ext cx="190500" cy="933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103</xdr:col>
      <xdr:colOff>438150</xdr:colOff>
      <xdr:row>12</xdr:row>
      <xdr:rowOff>190500</xdr:rowOff>
    </xdr:from>
    <xdr:to>
      <xdr:col>104</xdr:col>
      <xdr:colOff>9525</xdr:colOff>
      <xdr:row>13</xdr:row>
      <xdr:rowOff>133350</xdr:rowOff>
    </xdr:to>
    <xdr:sp macro="" textlink="">
      <xdr:nvSpPr>
        <xdr:cNvPr id="315924" name="Rectangle 28"/>
        <xdr:cNvSpPr>
          <a:spLocks noChangeArrowheads="1"/>
        </xdr:cNvSpPr>
      </xdr:nvSpPr>
      <xdr:spPr bwMode="auto">
        <a:xfrm>
          <a:off x="76352400" y="3162300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103</xdr:col>
      <xdr:colOff>438150</xdr:colOff>
      <xdr:row>30</xdr:row>
      <xdr:rowOff>0</xdr:rowOff>
    </xdr:from>
    <xdr:to>
      <xdr:col>104</xdr:col>
      <xdr:colOff>9525</xdr:colOff>
      <xdr:row>30</xdr:row>
      <xdr:rowOff>142875</xdr:rowOff>
    </xdr:to>
    <xdr:sp macro="" textlink="">
      <xdr:nvSpPr>
        <xdr:cNvPr id="315925" name="Rectangle 28"/>
        <xdr:cNvSpPr>
          <a:spLocks noChangeArrowheads="1"/>
        </xdr:cNvSpPr>
      </xdr:nvSpPr>
      <xdr:spPr bwMode="auto">
        <a:xfrm>
          <a:off x="76352400" y="6572250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103</xdr:col>
      <xdr:colOff>438150</xdr:colOff>
      <xdr:row>22</xdr:row>
      <xdr:rowOff>76200</xdr:rowOff>
    </xdr:from>
    <xdr:to>
      <xdr:col>104</xdr:col>
      <xdr:colOff>9525</xdr:colOff>
      <xdr:row>23</xdr:row>
      <xdr:rowOff>28575</xdr:rowOff>
    </xdr:to>
    <xdr:sp macro="" textlink="">
      <xdr:nvSpPr>
        <xdr:cNvPr id="315926" name="Rectangle 28"/>
        <xdr:cNvSpPr>
          <a:spLocks noChangeArrowheads="1"/>
        </xdr:cNvSpPr>
      </xdr:nvSpPr>
      <xdr:spPr bwMode="auto">
        <a:xfrm>
          <a:off x="76352400" y="5048250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103</xdr:col>
      <xdr:colOff>438150</xdr:colOff>
      <xdr:row>18</xdr:row>
      <xdr:rowOff>142875</xdr:rowOff>
    </xdr:from>
    <xdr:to>
      <xdr:col>104</xdr:col>
      <xdr:colOff>9525</xdr:colOff>
      <xdr:row>19</xdr:row>
      <xdr:rowOff>104775</xdr:rowOff>
    </xdr:to>
    <xdr:sp macro="" textlink="">
      <xdr:nvSpPr>
        <xdr:cNvPr id="315927" name="Rectangle 27"/>
        <xdr:cNvSpPr>
          <a:spLocks noChangeArrowheads="1"/>
        </xdr:cNvSpPr>
      </xdr:nvSpPr>
      <xdr:spPr bwMode="auto">
        <a:xfrm>
          <a:off x="76352400" y="4314825"/>
          <a:ext cx="190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103</xdr:col>
      <xdr:colOff>438150</xdr:colOff>
      <xdr:row>17</xdr:row>
      <xdr:rowOff>133350</xdr:rowOff>
    </xdr:from>
    <xdr:to>
      <xdr:col>104</xdr:col>
      <xdr:colOff>9525</xdr:colOff>
      <xdr:row>18</xdr:row>
      <xdr:rowOff>76200</xdr:rowOff>
    </xdr:to>
    <xdr:sp macro="" textlink="">
      <xdr:nvSpPr>
        <xdr:cNvPr id="315928" name="Rectangle 28"/>
        <xdr:cNvSpPr>
          <a:spLocks noChangeArrowheads="1"/>
        </xdr:cNvSpPr>
      </xdr:nvSpPr>
      <xdr:spPr bwMode="auto">
        <a:xfrm>
          <a:off x="76352400" y="4105275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103</xdr:col>
      <xdr:colOff>438150</xdr:colOff>
      <xdr:row>36</xdr:row>
      <xdr:rowOff>171450</xdr:rowOff>
    </xdr:from>
    <xdr:to>
      <xdr:col>104</xdr:col>
      <xdr:colOff>9525</xdr:colOff>
      <xdr:row>37</xdr:row>
      <xdr:rowOff>123825</xdr:rowOff>
    </xdr:to>
    <xdr:sp macro="" textlink="">
      <xdr:nvSpPr>
        <xdr:cNvPr id="315929" name="Rectangle 27"/>
        <xdr:cNvSpPr>
          <a:spLocks noChangeArrowheads="1"/>
        </xdr:cNvSpPr>
      </xdr:nvSpPr>
      <xdr:spPr bwMode="auto">
        <a:xfrm>
          <a:off x="76352400" y="7943850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103</xdr:col>
      <xdr:colOff>438150</xdr:colOff>
      <xdr:row>21</xdr:row>
      <xdr:rowOff>95250</xdr:rowOff>
    </xdr:from>
    <xdr:to>
      <xdr:col>104</xdr:col>
      <xdr:colOff>9525</xdr:colOff>
      <xdr:row>22</xdr:row>
      <xdr:rowOff>57150</xdr:rowOff>
    </xdr:to>
    <xdr:sp macro="" textlink="">
      <xdr:nvSpPr>
        <xdr:cNvPr id="315930" name="Rectangle 28"/>
        <xdr:cNvSpPr>
          <a:spLocks noChangeArrowheads="1"/>
        </xdr:cNvSpPr>
      </xdr:nvSpPr>
      <xdr:spPr bwMode="auto">
        <a:xfrm>
          <a:off x="76352400" y="4867275"/>
          <a:ext cx="190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103</xdr:col>
      <xdr:colOff>438150</xdr:colOff>
      <xdr:row>29</xdr:row>
      <xdr:rowOff>9525</xdr:rowOff>
    </xdr:from>
    <xdr:to>
      <xdr:col>104</xdr:col>
      <xdr:colOff>9525</xdr:colOff>
      <xdr:row>29</xdr:row>
      <xdr:rowOff>171450</xdr:rowOff>
    </xdr:to>
    <xdr:sp macro="" textlink="">
      <xdr:nvSpPr>
        <xdr:cNvPr id="315931" name="Rectangle 28"/>
        <xdr:cNvSpPr>
          <a:spLocks noChangeArrowheads="1"/>
        </xdr:cNvSpPr>
      </xdr:nvSpPr>
      <xdr:spPr bwMode="auto">
        <a:xfrm>
          <a:off x="76352400" y="6381750"/>
          <a:ext cx="190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103</xdr:col>
      <xdr:colOff>438150</xdr:colOff>
      <xdr:row>9</xdr:row>
      <xdr:rowOff>9525</xdr:rowOff>
    </xdr:from>
    <xdr:to>
      <xdr:col>104</xdr:col>
      <xdr:colOff>9525</xdr:colOff>
      <xdr:row>9</xdr:row>
      <xdr:rowOff>171450</xdr:rowOff>
    </xdr:to>
    <xdr:sp macro="" textlink="">
      <xdr:nvSpPr>
        <xdr:cNvPr id="315932" name="Rectangle 28"/>
        <xdr:cNvSpPr>
          <a:spLocks noChangeArrowheads="1"/>
        </xdr:cNvSpPr>
      </xdr:nvSpPr>
      <xdr:spPr bwMode="auto">
        <a:xfrm>
          <a:off x="76352400" y="2381250"/>
          <a:ext cx="190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103</xdr:col>
      <xdr:colOff>438150</xdr:colOff>
      <xdr:row>22</xdr:row>
      <xdr:rowOff>76200</xdr:rowOff>
    </xdr:from>
    <xdr:to>
      <xdr:col>104</xdr:col>
      <xdr:colOff>9525</xdr:colOff>
      <xdr:row>23</xdr:row>
      <xdr:rowOff>28575</xdr:rowOff>
    </xdr:to>
    <xdr:sp macro="" textlink="">
      <xdr:nvSpPr>
        <xdr:cNvPr id="315933" name="Rectangle 28"/>
        <xdr:cNvSpPr>
          <a:spLocks noChangeArrowheads="1"/>
        </xdr:cNvSpPr>
      </xdr:nvSpPr>
      <xdr:spPr bwMode="auto">
        <a:xfrm>
          <a:off x="76352400" y="5048250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103</xdr:col>
      <xdr:colOff>438150</xdr:colOff>
      <xdr:row>5</xdr:row>
      <xdr:rowOff>95250</xdr:rowOff>
    </xdr:from>
    <xdr:to>
      <xdr:col>104</xdr:col>
      <xdr:colOff>9525</xdr:colOff>
      <xdr:row>6</xdr:row>
      <xdr:rowOff>57150</xdr:rowOff>
    </xdr:to>
    <xdr:sp macro="" textlink="">
      <xdr:nvSpPr>
        <xdr:cNvPr id="315934" name="Rectangle 27"/>
        <xdr:cNvSpPr>
          <a:spLocks noChangeArrowheads="1"/>
        </xdr:cNvSpPr>
      </xdr:nvSpPr>
      <xdr:spPr bwMode="auto">
        <a:xfrm>
          <a:off x="76352400" y="1666875"/>
          <a:ext cx="190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103</xdr:col>
      <xdr:colOff>438150</xdr:colOff>
      <xdr:row>33</xdr:row>
      <xdr:rowOff>9525</xdr:rowOff>
    </xdr:from>
    <xdr:to>
      <xdr:col>104</xdr:col>
      <xdr:colOff>9525</xdr:colOff>
      <xdr:row>33</xdr:row>
      <xdr:rowOff>161925</xdr:rowOff>
    </xdr:to>
    <xdr:sp macro="" textlink="">
      <xdr:nvSpPr>
        <xdr:cNvPr id="315935" name="Rectangle 27"/>
        <xdr:cNvSpPr>
          <a:spLocks noChangeArrowheads="1"/>
        </xdr:cNvSpPr>
      </xdr:nvSpPr>
      <xdr:spPr bwMode="auto">
        <a:xfrm>
          <a:off x="76352400" y="7181850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103</xdr:col>
      <xdr:colOff>438150</xdr:colOff>
      <xdr:row>33</xdr:row>
      <xdr:rowOff>161925</xdr:rowOff>
    </xdr:from>
    <xdr:to>
      <xdr:col>104</xdr:col>
      <xdr:colOff>9525</xdr:colOff>
      <xdr:row>34</xdr:row>
      <xdr:rowOff>123825</xdr:rowOff>
    </xdr:to>
    <xdr:sp macro="" textlink="">
      <xdr:nvSpPr>
        <xdr:cNvPr id="315936" name="Rectangle 28"/>
        <xdr:cNvSpPr>
          <a:spLocks noChangeArrowheads="1"/>
        </xdr:cNvSpPr>
      </xdr:nvSpPr>
      <xdr:spPr bwMode="auto">
        <a:xfrm>
          <a:off x="76352400" y="7334250"/>
          <a:ext cx="190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103</xdr:col>
      <xdr:colOff>438150</xdr:colOff>
      <xdr:row>21</xdr:row>
      <xdr:rowOff>95250</xdr:rowOff>
    </xdr:from>
    <xdr:to>
      <xdr:col>104</xdr:col>
      <xdr:colOff>9525</xdr:colOff>
      <xdr:row>22</xdr:row>
      <xdr:rowOff>57150</xdr:rowOff>
    </xdr:to>
    <xdr:sp macro="" textlink="">
      <xdr:nvSpPr>
        <xdr:cNvPr id="315937" name="Rectangle 28"/>
        <xdr:cNvSpPr>
          <a:spLocks noChangeArrowheads="1"/>
        </xdr:cNvSpPr>
      </xdr:nvSpPr>
      <xdr:spPr bwMode="auto">
        <a:xfrm>
          <a:off x="76352400" y="4867275"/>
          <a:ext cx="190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103</xdr:col>
      <xdr:colOff>438150</xdr:colOff>
      <xdr:row>15</xdr:row>
      <xdr:rowOff>142875</xdr:rowOff>
    </xdr:from>
    <xdr:to>
      <xdr:col>104</xdr:col>
      <xdr:colOff>9525</xdr:colOff>
      <xdr:row>16</xdr:row>
      <xdr:rowOff>95250</xdr:rowOff>
    </xdr:to>
    <xdr:sp macro="" textlink="">
      <xdr:nvSpPr>
        <xdr:cNvPr id="315938" name="Rectangle 28"/>
        <xdr:cNvSpPr>
          <a:spLocks noChangeArrowheads="1"/>
        </xdr:cNvSpPr>
      </xdr:nvSpPr>
      <xdr:spPr bwMode="auto">
        <a:xfrm>
          <a:off x="76352400" y="3714750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103</xdr:col>
      <xdr:colOff>438150</xdr:colOff>
      <xdr:row>46</xdr:row>
      <xdr:rowOff>76200</xdr:rowOff>
    </xdr:from>
    <xdr:to>
      <xdr:col>104</xdr:col>
      <xdr:colOff>9525</xdr:colOff>
      <xdr:row>47</xdr:row>
      <xdr:rowOff>38100</xdr:rowOff>
    </xdr:to>
    <xdr:sp macro="" textlink="">
      <xdr:nvSpPr>
        <xdr:cNvPr id="315939" name="Rectangle 27"/>
        <xdr:cNvSpPr>
          <a:spLocks noChangeArrowheads="1"/>
        </xdr:cNvSpPr>
      </xdr:nvSpPr>
      <xdr:spPr bwMode="auto">
        <a:xfrm>
          <a:off x="76352400" y="9848850"/>
          <a:ext cx="190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103</xdr:col>
      <xdr:colOff>438150</xdr:colOff>
      <xdr:row>42</xdr:row>
      <xdr:rowOff>123825</xdr:rowOff>
    </xdr:from>
    <xdr:to>
      <xdr:col>104</xdr:col>
      <xdr:colOff>9525</xdr:colOff>
      <xdr:row>43</xdr:row>
      <xdr:rowOff>76200</xdr:rowOff>
    </xdr:to>
    <xdr:sp macro="" textlink="">
      <xdr:nvSpPr>
        <xdr:cNvPr id="315940" name="Rectangle 27"/>
        <xdr:cNvSpPr>
          <a:spLocks noChangeArrowheads="1"/>
        </xdr:cNvSpPr>
      </xdr:nvSpPr>
      <xdr:spPr bwMode="auto">
        <a:xfrm>
          <a:off x="76352400" y="9096375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103</xdr:col>
      <xdr:colOff>438150</xdr:colOff>
      <xdr:row>43</xdr:row>
      <xdr:rowOff>76200</xdr:rowOff>
    </xdr:from>
    <xdr:to>
      <xdr:col>104</xdr:col>
      <xdr:colOff>9525</xdr:colOff>
      <xdr:row>44</xdr:row>
      <xdr:rowOff>28575</xdr:rowOff>
    </xdr:to>
    <xdr:sp macro="" textlink="">
      <xdr:nvSpPr>
        <xdr:cNvPr id="315941" name="Rectangle 28"/>
        <xdr:cNvSpPr>
          <a:spLocks noChangeArrowheads="1"/>
        </xdr:cNvSpPr>
      </xdr:nvSpPr>
      <xdr:spPr bwMode="auto">
        <a:xfrm>
          <a:off x="76352400" y="9248775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103</xdr:col>
      <xdr:colOff>438150</xdr:colOff>
      <xdr:row>3</xdr:row>
      <xdr:rowOff>66675</xdr:rowOff>
    </xdr:from>
    <xdr:to>
      <xdr:col>104</xdr:col>
      <xdr:colOff>9525</xdr:colOff>
      <xdr:row>4</xdr:row>
      <xdr:rowOff>9525</xdr:rowOff>
    </xdr:to>
    <xdr:sp macro="" textlink="">
      <xdr:nvSpPr>
        <xdr:cNvPr id="315942" name="Rectangle 28"/>
        <xdr:cNvSpPr>
          <a:spLocks noChangeArrowheads="1"/>
        </xdr:cNvSpPr>
      </xdr:nvSpPr>
      <xdr:spPr bwMode="auto">
        <a:xfrm>
          <a:off x="76352400" y="1238250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103</xdr:col>
      <xdr:colOff>438150</xdr:colOff>
      <xdr:row>20</xdr:row>
      <xdr:rowOff>57150</xdr:rowOff>
    </xdr:from>
    <xdr:to>
      <xdr:col>104</xdr:col>
      <xdr:colOff>180975</xdr:colOff>
      <xdr:row>24</xdr:row>
      <xdr:rowOff>190500</xdr:rowOff>
    </xdr:to>
    <xdr:sp macro="" textlink="">
      <xdr:nvSpPr>
        <xdr:cNvPr id="315943" name="Obdélník 2748"/>
        <xdr:cNvSpPr>
          <a:spLocks noChangeArrowheads="1"/>
        </xdr:cNvSpPr>
      </xdr:nvSpPr>
      <xdr:spPr bwMode="auto">
        <a:xfrm>
          <a:off x="76352400" y="4629150"/>
          <a:ext cx="190500" cy="933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103</xdr:col>
      <xdr:colOff>438150</xdr:colOff>
      <xdr:row>12</xdr:row>
      <xdr:rowOff>190500</xdr:rowOff>
    </xdr:from>
    <xdr:to>
      <xdr:col>104</xdr:col>
      <xdr:colOff>9525</xdr:colOff>
      <xdr:row>13</xdr:row>
      <xdr:rowOff>133350</xdr:rowOff>
    </xdr:to>
    <xdr:sp macro="" textlink="">
      <xdr:nvSpPr>
        <xdr:cNvPr id="315944" name="Rectangle 28"/>
        <xdr:cNvSpPr>
          <a:spLocks noChangeArrowheads="1"/>
        </xdr:cNvSpPr>
      </xdr:nvSpPr>
      <xdr:spPr bwMode="auto">
        <a:xfrm>
          <a:off x="76352400" y="3162300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103</xdr:col>
      <xdr:colOff>438150</xdr:colOff>
      <xdr:row>30</xdr:row>
      <xdr:rowOff>0</xdr:rowOff>
    </xdr:from>
    <xdr:to>
      <xdr:col>104</xdr:col>
      <xdr:colOff>9525</xdr:colOff>
      <xdr:row>30</xdr:row>
      <xdr:rowOff>142875</xdr:rowOff>
    </xdr:to>
    <xdr:sp macro="" textlink="">
      <xdr:nvSpPr>
        <xdr:cNvPr id="315945" name="Rectangle 28"/>
        <xdr:cNvSpPr>
          <a:spLocks noChangeArrowheads="1"/>
        </xdr:cNvSpPr>
      </xdr:nvSpPr>
      <xdr:spPr bwMode="auto">
        <a:xfrm>
          <a:off x="76352400" y="6572250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103</xdr:col>
      <xdr:colOff>438150</xdr:colOff>
      <xdr:row>22</xdr:row>
      <xdr:rowOff>76200</xdr:rowOff>
    </xdr:from>
    <xdr:to>
      <xdr:col>104</xdr:col>
      <xdr:colOff>9525</xdr:colOff>
      <xdr:row>23</xdr:row>
      <xdr:rowOff>28575</xdr:rowOff>
    </xdr:to>
    <xdr:sp macro="" textlink="">
      <xdr:nvSpPr>
        <xdr:cNvPr id="315946" name="Rectangle 28"/>
        <xdr:cNvSpPr>
          <a:spLocks noChangeArrowheads="1"/>
        </xdr:cNvSpPr>
      </xdr:nvSpPr>
      <xdr:spPr bwMode="auto">
        <a:xfrm>
          <a:off x="76352400" y="5048250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103</xdr:col>
      <xdr:colOff>438150</xdr:colOff>
      <xdr:row>18</xdr:row>
      <xdr:rowOff>142875</xdr:rowOff>
    </xdr:from>
    <xdr:to>
      <xdr:col>104</xdr:col>
      <xdr:colOff>9525</xdr:colOff>
      <xdr:row>19</xdr:row>
      <xdr:rowOff>104775</xdr:rowOff>
    </xdr:to>
    <xdr:sp macro="" textlink="">
      <xdr:nvSpPr>
        <xdr:cNvPr id="315947" name="Rectangle 27"/>
        <xdr:cNvSpPr>
          <a:spLocks noChangeArrowheads="1"/>
        </xdr:cNvSpPr>
      </xdr:nvSpPr>
      <xdr:spPr bwMode="auto">
        <a:xfrm>
          <a:off x="76352400" y="4314825"/>
          <a:ext cx="190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103</xdr:col>
      <xdr:colOff>438150</xdr:colOff>
      <xdr:row>17</xdr:row>
      <xdr:rowOff>133350</xdr:rowOff>
    </xdr:from>
    <xdr:to>
      <xdr:col>104</xdr:col>
      <xdr:colOff>9525</xdr:colOff>
      <xdr:row>18</xdr:row>
      <xdr:rowOff>76200</xdr:rowOff>
    </xdr:to>
    <xdr:sp macro="" textlink="">
      <xdr:nvSpPr>
        <xdr:cNvPr id="315948" name="Rectangle 28"/>
        <xdr:cNvSpPr>
          <a:spLocks noChangeArrowheads="1"/>
        </xdr:cNvSpPr>
      </xdr:nvSpPr>
      <xdr:spPr bwMode="auto">
        <a:xfrm>
          <a:off x="76352400" y="4105275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103</xdr:col>
      <xdr:colOff>438150</xdr:colOff>
      <xdr:row>36</xdr:row>
      <xdr:rowOff>171450</xdr:rowOff>
    </xdr:from>
    <xdr:to>
      <xdr:col>104</xdr:col>
      <xdr:colOff>9525</xdr:colOff>
      <xdr:row>37</xdr:row>
      <xdr:rowOff>123825</xdr:rowOff>
    </xdr:to>
    <xdr:sp macro="" textlink="">
      <xdr:nvSpPr>
        <xdr:cNvPr id="315949" name="Rectangle 27"/>
        <xdr:cNvSpPr>
          <a:spLocks noChangeArrowheads="1"/>
        </xdr:cNvSpPr>
      </xdr:nvSpPr>
      <xdr:spPr bwMode="auto">
        <a:xfrm>
          <a:off x="76352400" y="7943850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103</xdr:col>
      <xdr:colOff>438150</xdr:colOff>
      <xdr:row>21</xdr:row>
      <xdr:rowOff>95250</xdr:rowOff>
    </xdr:from>
    <xdr:to>
      <xdr:col>104</xdr:col>
      <xdr:colOff>9525</xdr:colOff>
      <xdr:row>22</xdr:row>
      <xdr:rowOff>57150</xdr:rowOff>
    </xdr:to>
    <xdr:sp macro="" textlink="">
      <xdr:nvSpPr>
        <xdr:cNvPr id="315950" name="Rectangle 28"/>
        <xdr:cNvSpPr>
          <a:spLocks noChangeArrowheads="1"/>
        </xdr:cNvSpPr>
      </xdr:nvSpPr>
      <xdr:spPr bwMode="auto">
        <a:xfrm>
          <a:off x="76352400" y="4867275"/>
          <a:ext cx="190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103</xdr:col>
      <xdr:colOff>438150</xdr:colOff>
      <xdr:row>29</xdr:row>
      <xdr:rowOff>9525</xdr:rowOff>
    </xdr:from>
    <xdr:to>
      <xdr:col>104</xdr:col>
      <xdr:colOff>9525</xdr:colOff>
      <xdr:row>29</xdr:row>
      <xdr:rowOff>171450</xdr:rowOff>
    </xdr:to>
    <xdr:sp macro="" textlink="">
      <xdr:nvSpPr>
        <xdr:cNvPr id="315951" name="Rectangle 28"/>
        <xdr:cNvSpPr>
          <a:spLocks noChangeArrowheads="1"/>
        </xdr:cNvSpPr>
      </xdr:nvSpPr>
      <xdr:spPr bwMode="auto">
        <a:xfrm>
          <a:off x="76352400" y="6381750"/>
          <a:ext cx="190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103</xdr:col>
      <xdr:colOff>438150</xdr:colOff>
      <xdr:row>9</xdr:row>
      <xdr:rowOff>9525</xdr:rowOff>
    </xdr:from>
    <xdr:to>
      <xdr:col>104</xdr:col>
      <xdr:colOff>9525</xdr:colOff>
      <xdr:row>9</xdr:row>
      <xdr:rowOff>171450</xdr:rowOff>
    </xdr:to>
    <xdr:sp macro="" textlink="">
      <xdr:nvSpPr>
        <xdr:cNvPr id="315952" name="Rectangle 28"/>
        <xdr:cNvSpPr>
          <a:spLocks noChangeArrowheads="1"/>
        </xdr:cNvSpPr>
      </xdr:nvSpPr>
      <xdr:spPr bwMode="auto">
        <a:xfrm>
          <a:off x="76352400" y="2381250"/>
          <a:ext cx="190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103</xdr:col>
      <xdr:colOff>438150</xdr:colOff>
      <xdr:row>22</xdr:row>
      <xdr:rowOff>76200</xdr:rowOff>
    </xdr:from>
    <xdr:to>
      <xdr:col>104</xdr:col>
      <xdr:colOff>9525</xdr:colOff>
      <xdr:row>23</xdr:row>
      <xdr:rowOff>28575</xdr:rowOff>
    </xdr:to>
    <xdr:sp macro="" textlink="">
      <xdr:nvSpPr>
        <xdr:cNvPr id="315953" name="Rectangle 28"/>
        <xdr:cNvSpPr>
          <a:spLocks noChangeArrowheads="1"/>
        </xdr:cNvSpPr>
      </xdr:nvSpPr>
      <xdr:spPr bwMode="auto">
        <a:xfrm>
          <a:off x="76352400" y="5048250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103</xdr:col>
      <xdr:colOff>438150</xdr:colOff>
      <xdr:row>5</xdr:row>
      <xdr:rowOff>95250</xdr:rowOff>
    </xdr:from>
    <xdr:to>
      <xdr:col>104</xdr:col>
      <xdr:colOff>9525</xdr:colOff>
      <xdr:row>6</xdr:row>
      <xdr:rowOff>57150</xdr:rowOff>
    </xdr:to>
    <xdr:sp macro="" textlink="">
      <xdr:nvSpPr>
        <xdr:cNvPr id="315954" name="Rectangle 27"/>
        <xdr:cNvSpPr>
          <a:spLocks noChangeArrowheads="1"/>
        </xdr:cNvSpPr>
      </xdr:nvSpPr>
      <xdr:spPr bwMode="auto">
        <a:xfrm>
          <a:off x="76352400" y="1666875"/>
          <a:ext cx="190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103</xdr:col>
      <xdr:colOff>438150</xdr:colOff>
      <xdr:row>33</xdr:row>
      <xdr:rowOff>9525</xdr:rowOff>
    </xdr:from>
    <xdr:to>
      <xdr:col>104</xdr:col>
      <xdr:colOff>9525</xdr:colOff>
      <xdr:row>33</xdr:row>
      <xdr:rowOff>161925</xdr:rowOff>
    </xdr:to>
    <xdr:sp macro="" textlink="">
      <xdr:nvSpPr>
        <xdr:cNvPr id="315955" name="Rectangle 27"/>
        <xdr:cNvSpPr>
          <a:spLocks noChangeArrowheads="1"/>
        </xdr:cNvSpPr>
      </xdr:nvSpPr>
      <xdr:spPr bwMode="auto">
        <a:xfrm>
          <a:off x="76352400" y="7181850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103</xdr:col>
      <xdr:colOff>438150</xdr:colOff>
      <xdr:row>33</xdr:row>
      <xdr:rowOff>161925</xdr:rowOff>
    </xdr:from>
    <xdr:to>
      <xdr:col>104</xdr:col>
      <xdr:colOff>9525</xdr:colOff>
      <xdr:row>34</xdr:row>
      <xdr:rowOff>123825</xdr:rowOff>
    </xdr:to>
    <xdr:sp macro="" textlink="">
      <xdr:nvSpPr>
        <xdr:cNvPr id="315956" name="Rectangle 28"/>
        <xdr:cNvSpPr>
          <a:spLocks noChangeArrowheads="1"/>
        </xdr:cNvSpPr>
      </xdr:nvSpPr>
      <xdr:spPr bwMode="auto">
        <a:xfrm>
          <a:off x="76352400" y="7334250"/>
          <a:ext cx="190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103</xdr:col>
      <xdr:colOff>438150</xdr:colOff>
      <xdr:row>21</xdr:row>
      <xdr:rowOff>95250</xdr:rowOff>
    </xdr:from>
    <xdr:to>
      <xdr:col>104</xdr:col>
      <xdr:colOff>9525</xdr:colOff>
      <xdr:row>22</xdr:row>
      <xdr:rowOff>57150</xdr:rowOff>
    </xdr:to>
    <xdr:sp macro="" textlink="">
      <xdr:nvSpPr>
        <xdr:cNvPr id="315957" name="Rectangle 28"/>
        <xdr:cNvSpPr>
          <a:spLocks noChangeArrowheads="1"/>
        </xdr:cNvSpPr>
      </xdr:nvSpPr>
      <xdr:spPr bwMode="auto">
        <a:xfrm>
          <a:off x="76352400" y="4867275"/>
          <a:ext cx="190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103</xdr:col>
      <xdr:colOff>438150</xdr:colOff>
      <xdr:row>15</xdr:row>
      <xdr:rowOff>142875</xdr:rowOff>
    </xdr:from>
    <xdr:to>
      <xdr:col>104</xdr:col>
      <xdr:colOff>9525</xdr:colOff>
      <xdr:row>16</xdr:row>
      <xdr:rowOff>95250</xdr:rowOff>
    </xdr:to>
    <xdr:sp macro="" textlink="">
      <xdr:nvSpPr>
        <xdr:cNvPr id="315958" name="Rectangle 28"/>
        <xdr:cNvSpPr>
          <a:spLocks noChangeArrowheads="1"/>
        </xdr:cNvSpPr>
      </xdr:nvSpPr>
      <xdr:spPr bwMode="auto">
        <a:xfrm>
          <a:off x="76352400" y="3714750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103</xdr:col>
      <xdr:colOff>438150</xdr:colOff>
      <xdr:row>46</xdr:row>
      <xdr:rowOff>76200</xdr:rowOff>
    </xdr:from>
    <xdr:to>
      <xdr:col>104</xdr:col>
      <xdr:colOff>9525</xdr:colOff>
      <xdr:row>47</xdr:row>
      <xdr:rowOff>38100</xdr:rowOff>
    </xdr:to>
    <xdr:sp macro="" textlink="">
      <xdr:nvSpPr>
        <xdr:cNvPr id="315959" name="Rectangle 27"/>
        <xdr:cNvSpPr>
          <a:spLocks noChangeArrowheads="1"/>
        </xdr:cNvSpPr>
      </xdr:nvSpPr>
      <xdr:spPr bwMode="auto">
        <a:xfrm>
          <a:off x="76352400" y="9848850"/>
          <a:ext cx="190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103</xdr:col>
      <xdr:colOff>438150</xdr:colOff>
      <xdr:row>42</xdr:row>
      <xdr:rowOff>123825</xdr:rowOff>
    </xdr:from>
    <xdr:to>
      <xdr:col>104</xdr:col>
      <xdr:colOff>9525</xdr:colOff>
      <xdr:row>43</xdr:row>
      <xdr:rowOff>76200</xdr:rowOff>
    </xdr:to>
    <xdr:sp macro="" textlink="">
      <xdr:nvSpPr>
        <xdr:cNvPr id="315960" name="Rectangle 27"/>
        <xdr:cNvSpPr>
          <a:spLocks noChangeArrowheads="1"/>
        </xdr:cNvSpPr>
      </xdr:nvSpPr>
      <xdr:spPr bwMode="auto">
        <a:xfrm>
          <a:off x="76352400" y="9096375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103</xdr:col>
      <xdr:colOff>438150</xdr:colOff>
      <xdr:row>43</xdr:row>
      <xdr:rowOff>76200</xdr:rowOff>
    </xdr:from>
    <xdr:to>
      <xdr:col>104</xdr:col>
      <xdr:colOff>9525</xdr:colOff>
      <xdr:row>44</xdr:row>
      <xdr:rowOff>28575</xdr:rowOff>
    </xdr:to>
    <xdr:sp macro="" textlink="">
      <xdr:nvSpPr>
        <xdr:cNvPr id="315961" name="Rectangle 28"/>
        <xdr:cNvSpPr>
          <a:spLocks noChangeArrowheads="1"/>
        </xdr:cNvSpPr>
      </xdr:nvSpPr>
      <xdr:spPr bwMode="auto">
        <a:xfrm>
          <a:off x="76352400" y="9248775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103</xdr:col>
      <xdr:colOff>438150</xdr:colOff>
      <xdr:row>3</xdr:row>
      <xdr:rowOff>66675</xdr:rowOff>
    </xdr:from>
    <xdr:to>
      <xdr:col>104</xdr:col>
      <xdr:colOff>9525</xdr:colOff>
      <xdr:row>4</xdr:row>
      <xdr:rowOff>9525</xdr:rowOff>
    </xdr:to>
    <xdr:sp macro="" textlink="">
      <xdr:nvSpPr>
        <xdr:cNvPr id="315962" name="Rectangle 28"/>
        <xdr:cNvSpPr>
          <a:spLocks noChangeArrowheads="1"/>
        </xdr:cNvSpPr>
      </xdr:nvSpPr>
      <xdr:spPr bwMode="auto">
        <a:xfrm>
          <a:off x="76352400" y="1238250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103</xdr:col>
      <xdr:colOff>438150</xdr:colOff>
      <xdr:row>20</xdr:row>
      <xdr:rowOff>57150</xdr:rowOff>
    </xdr:from>
    <xdr:to>
      <xdr:col>104</xdr:col>
      <xdr:colOff>180975</xdr:colOff>
      <xdr:row>24</xdr:row>
      <xdr:rowOff>190500</xdr:rowOff>
    </xdr:to>
    <xdr:sp macro="" textlink="">
      <xdr:nvSpPr>
        <xdr:cNvPr id="315963" name="Obdélník 2768"/>
        <xdr:cNvSpPr>
          <a:spLocks noChangeArrowheads="1"/>
        </xdr:cNvSpPr>
      </xdr:nvSpPr>
      <xdr:spPr bwMode="auto">
        <a:xfrm>
          <a:off x="76352400" y="4629150"/>
          <a:ext cx="190500" cy="933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103</xdr:col>
      <xdr:colOff>438150</xdr:colOff>
      <xdr:row>12</xdr:row>
      <xdr:rowOff>190500</xdr:rowOff>
    </xdr:from>
    <xdr:to>
      <xdr:col>104</xdr:col>
      <xdr:colOff>9525</xdr:colOff>
      <xdr:row>13</xdr:row>
      <xdr:rowOff>133350</xdr:rowOff>
    </xdr:to>
    <xdr:sp macro="" textlink="">
      <xdr:nvSpPr>
        <xdr:cNvPr id="315964" name="Rectangle 28"/>
        <xdr:cNvSpPr>
          <a:spLocks noChangeArrowheads="1"/>
        </xdr:cNvSpPr>
      </xdr:nvSpPr>
      <xdr:spPr bwMode="auto">
        <a:xfrm>
          <a:off x="76352400" y="3162300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103</xdr:col>
      <xdr:colOff>438150</xdr:colOff>
      <xdr:row>30</xdr:row>
      <xdr:rowOff>0</xdr:rowOff>
    </xdr:from>
    <xdr:to>
      <xdr:col>104</xdr:col>
      <xdr:colOff>9525</xdr:colOff>
      <xdr:row>30</xdr:row>
      <xdr:rowOff>142875</xdr:rowOff>
    </xdr:to>
    <xdr:sp macro="" textlink="">
      <xdr:nvSpPr>
        <xdr:cNvPr id="315965" name="Rectangle 28"/>
        <xdr:cNvSpPr>
          <a:spLocks noChangeArrowheads="1"/>
        </xdr:cNvSpPr>
      </xdr:nvSpPr>
      <xdr:spPr bwMode="auto">
        <a:xfrm>
          <a:off x="76352400" y="6572250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103</xdr:col>
      <xdr:colOff>438150</xdr:colOff>
      <xdr:row>22</xdr:row>
      <xdr:rowOff>76200</xdr:rowOff>
    </xdr:from>
    <xdr:to>
      <xdr:col>104</xdr:col>
      <xdr:colOff>9525</xdr:colOff>
      <xdr:row>23</xdr:row>
      <xdr:rowOff>28575</xdr:rowOff>
    </xdr:to>
    <xdr:sp macro="" textlink="">
      <xdr:nvSpPr>
        <xdr:cNvPr id="315966" name="Rectangle 28"/>
        <xdr:cNvSpPr>
          <a:spLocks noChangeArrowheads="1"/>
        </xdr:cNvSpPr>
      </xdr:nvSpPr>
      <xdr:spPr bwMode="auto">
        <a:xfrm>
          <a:off x="76352400" y="5048250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103</xdr:col>
      <xdr:colOff>438150</xdr:colOff>
      <xdr:row>18</xdr:row>
      <xdr:rowOff>142875</xdr:rowOff>
    </xdr:from>
    <xdr:to>
      <xdr:col>104</xdr:col>
      <xdr:colOff>9525</xdr:colOff>
      <xdr:row>19</xdr:row>
      <xdr:rowOff>104775</xdr:rowOff>
    </xdr:to>
    <xdr:sp macro="" textlink="">
      <xdr:nvSpPr>
        <xdr:cNvPr id="315967" name="Rectangle 27"/>
        <xdr:cNvSpPr>
          <a:spLocks noChangeArrowheads="1"/>
        </xdr:cNvSpPr>
      </xdr:nvSpPr>
      <xdr:spPr bwMode="auto">
        <a:xfrm>
          <a:off x="76352400" y="4314825"/>
          <a:ext cx="190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103</xdr:col>
      <xdr:colOff>438150</xdr:colOff>
      <xdr:row>17</xdr:row>
      <xdr:rowOff>133350</xdr:rowOff>
    </xdr:from>
    <xdr:to>
      <xdr:col>104</xdr:col>
      <xdr:colOff>9525</xdr:colOff>
      <xdr:row>18</xdr:row>
      <xdr:rowOff>76200</xdr:rowOff>
    </xdr:to>
    <xdr:sp macro="" textlink="">
      <xdr:nvSpPr>
        <xdr:cNvPr id="315968" name="Rectangle 28"/>
        <xdr:cNvSpPr>
          <a:spLocks noChangeArrowheads="1"/>
        </xdr:cNvSpPr>
      </xdr:nvSpPr>
      <xdr:spPr bwMode="auto">
        <a:xfrm>
          <a:off x="76352400" y="4105275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103</xdr:col>
      <xdr:colOff>438150</xdr:colOff>
      <xdr:row>36</xdr:row>
      <xdr:rowOff>171450</xdr:rowOff>
    </xdr:from>
    <xdr:to>
      <xdr:col>104</xdr:col>
      <xdr:colOff>9525</xdr:colOff>
      <xdr:row>37</xdr:row>
      <xdr:rowOff>123825</xdr:rowOff>
    </xdr:to>
    <xdr:sp macro="" textlink="">
      <xdr:nvSpPr>
        <xdr:cNvPr id="315969" name="Rectangle 27"/>
        <xdr:cNvSpPr>
          <a:spLocks noChangeArrowheads="1"/>
        </xdr:cNvSpPr>
      </xdr:nvSpPr>
      <xdr:spPr bwMode="auto">
        <a:xfrm>
          <a:off x="76352400" y="7943850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103</xdr:col>
      <xdr:colOff>438150</xdr:colOff>
      <xdr:row>21</xdr:row>
      <xdr:rowOff>95250</xdr:rowOff>
    </xdr:from>
    <xdr:to>
      <xdr:col>104</xdr:col>
      <xdr:colOff>9525</xdr:colOff>
      <xdr:row>22</xdr:row>
      <xdr:rowOff>57150</xdr:rowOff>
    </xdr:to>
    <xdr:sp macro="" textlink="">
      <xdr:nvSpPr>
        <xdr:cNvPr id="315970" name="Rectangle 28"/>
        <xdr:cNvSpPr>
          <a:spLocks noChangeArrowheads="1"/>
        </xdr:cNvSpPr>
      </xdr:nvSpPr>
      <xdr:spPr bwMode="auto">
        <a:xfrm>
          <a:off x="76352400" y="4867275"/>
          <a:ext cx="190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103</xdr:col>
      <xdr:colOff>438150</xdr:colOff>
      <xdr:row>29</xdr:row>
      <xdr:rowOff>9525</xdr:rowOff>
    </xdr:from>
    <xdr:to>
      <xdr:col>104</xdr:col>
      <xdr:colOff>9525</xdr:colOff>
      <xdr:row>29</xdr:row>
      <xdr:rowOff>171450</xdr:rowOff>
    </xdr:to>
    <xdr:sp macro="" textlink="">
      <xdr:nvSpPr>
        <xdr:cNvPr id="315971" name="Rectangle 28"/>
        <xdr:cNvSpPr>
          <a:spLocks noChangeArrowheads="1"/>
        </xdr:cNvSpPr>
      </xdr:nvSpPr>
      <xdr:spPr bwMode="auto">
        <a:xfrm>
          <a:off x="76352400" y="6381750"/>
          <a:ext cx="190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103</xdr:col>
      <xdr:colOff>438150</xdr:colOff>
      <xdr:row>9</xdr:row>
      <xdr:rowOff>9525</xdr:rowOff>
    </xdr:from>
    <xdr:to>
      <xdr:col>104</xdr:col>
      <xdr:colOff>9525</xdr:colOff>
      <xdr:row>9</xdr:row>
      <xdr:rowOff>171450</xdr:rowOff>
    </xdr:to>
    <xdr:sp macro="" textlink="">
      <xdr:nvSpPr>
        <xdr:cNvPr id="315972" name="Rectangle 28"/>
        <xdr:cNvSpPr>
          <a:spLocks noChangeArrowheads="1"/>
        </xdr:cNvSpPr>
      </xdr:nvSpPr>
      <xdr:spPr bwMode="auto">
        <a:xfrm>
          <a:off x="76352400" y="2381250"/>
          <a:ext cx="190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103</xdr:col>
      <xdr:colOff>438150</xdr:colOff>
      <xdr:row>22</xdr:row>
      <xdr:rowOff>76200</xdr:rowOff>
    </xdr:from>
    <xdr:to>
      <xdr:col>104</xdr:col>
      <xdr:colOff>9525</xdr:colOff>
      <xdr:row>23</xdr:row>
      <xdr:rowOff>28575</xdr:rowOff>
    </xdr:to>
    <xdr:sp macro="" textlink="">
      <xdr:nvSpPr>
        <xdr:cNvPr id="315973" name="Rectangle 28"/>
        <xdr:cNvSpPr>
          <a:spLocks noChangeArrowheads="1"/>
        </xdr:cNvSpPr>
      </xdr:nvSpPr>
      <xdr:spPr bwMode="auto">
        <a:xfrm>
          <a:off x="76352400" y="5048250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103</xdr:col>
      <xdr:colOff>438150</xdr:colOff>
      <xdr:row>5</xdr:row>
      <xdr:rowOff>95250</xdr:rowOff>
    </xdr:from>
    <xdr:to>
      <xdr:col>104</xdr:col>
      <xdr:colOff>9525</xdr:colOff>
      <xdr:row>6</xdr:row>
      <xdr:rowOff>57150</xdr:rowOff>
    </xdr:to>
    <xdr:sp macro="" textlink="">
      <xdr:nvSpPr>
        <xdr:cNvPr id="315974" name="Rectangle 27"/>
        <xdr:cNvSpPr>
          <a:spLocks noChangeArrowheads="1"/>
        </xdr:cNvSpPr>
      </xdr:nvSpPr>
      <xdr:spPr bwMode="auto">
        <a:xfrm>
          <a:off x="76352400" y="1666875"/>
          <a:ext cx="190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103</xdr:col>
      <xdr:colOff>438150</xdr:colOff>
      <xdr:row>33</xdr:row>
      <xdr:rowOff>9525</xdr:rowOff>
    </xdr:from>
    <xdr:to>
      <xdr:col>104</xdr:col>
      <xdr:colOff>9525</xdr:colOff>
      <xdr:row>33</xdr:row>
      <xdr:rowOff>161925</xdr:rowOff>
    </xdr:to>
    <xdr:sp macro="" textlink="">
      <xdr:nvSpPr>
        <xdr:cNvPr id="315975" name="Rectangle 27"/>
        <xdr:cNvSpPr>
          <a:spLocks noChangeArrowheads="1"/>
        </xdr:cNvSpPr>
      </xdr:nvSpPr>
      <xdr:spPr bwMode="auto">
        <a:xfrm>
          <a:off x="76352400" y="7181850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103</xdr:col>
      <xdr:colOff>438150</xdr:colOff>
      <xdr:row>33</xdr:row>
      <xdr:rowOff>161925</xdr:rowOff>
    </xdr:from>
    <xdr:to>
      <xdr:col>104</xdr:col>
      <xdr:colOff>9525</xdr:colOff>
      <xdr:row>34</xdr:row>
      <xdr:rowOff>123825</xdr:rowOff>
    </xdr:to>
    <xdr:sp macro="" textlink="">
      <xdr:nvSpPr>
        <xdr:cNvPr id="315976" name="Rectangle 28"/>
        <xdr:cNvSpPr>
          <a:spLocks noChangeArrowheads="1"/>
        </xdr:cNvSpPr>
      </xdr:nvSpPr>
      <xdr:spPr bwMode="auto">
        <a:xfrm>
          <a:off x="76352400" y="7334250"/>
          <a:ext cx="190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103</xdr:col>
      <xdr:colOff>438150</xdr:colOff>
      <xdr:row>21</xdr:row>
      <xdr:rowOff>95250</xdr:rowOff>
    </xdr:from>
    <xdr:to>
      <xdr:col>104</xdr:col>
      <xdr:colOff>9525</xdr:colOff>
      <xdr:row>22</xdr:row>
      <xdr:rowOff>57150</xdr:rowOff>
    </xdr:to>
    <xdr:sp macro="" textlink="">
      <xdr:nvSpPr>
        <xdr:cNvPr id="315977" name="Rectangle 28"/>
        <xdr:cNvSpPr>
          <a:spLocks noChangeArrowheads="1"/>
        </xdr:cNvSpPr>
      </xdr:nvSpPr>
      <xdr:spPr bwMode="auto">
        <a:xfrm>
          <a:off x="76352400" y="4867275"/>
          <a:ext cx="190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103</xdr:col>
      <xdr:colOff>438150</xdr:colOff>
      <xdr:row>15</xdr:row>
      <xdr:rowOff>142875</xdr:rowOff>
    </xdr:from>
    <xdr:to>
      <xdr:col>104</xdr:col>
      <xdr:colOff>9525</xdr:colOff>
      <xdr:row>16</xdr:row>
      <xdr:rowOff>95250</xdr:rowOff>
    </xdr:to>
    <xdr:sp macro="" textlink="">
      <xdr:nvSpPr>
        <xdr:cNvPr id="315978" name="Rectangle 28"/>
        <xdr:cNvSpPr>
          <a:spLocks noChangeArrowheads="1"/>
        </xdr:cNvSpPr>
      </xdr:nvSpPr>
      <xdr:spPr bwMode="auto">
        <a:xfrm>
          <a:off x="76352400" y="3714750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103</xdr:col>
      <xdr:colOff>438150</xdr:colOff>
      <xdr:row>46</xdr:row>
      <xdr:rowOff>76200</xdr:rowOff>
    </xdr:from>
    <xdr:to>
      <xdr:col>104</xdr:col>
      <xdr:colOff>9525</xdr:colOff>
      <xdr:row>47</xdr:row>
      <xdr:rowOff>38100</xdr:rowOff>
    </xdr:to>
    <xdr:sp macro="" textlink="">
      <xdr:nvSpPr>
        <xdr:cNvPr id="315979" name="Rectangle 27"/>
        <xdr:cNvSpPr>
          <a:spLocks noChangeArrowheads="1"/>
        </xdr:cNvSpPr>
      </xdr:nvSpPr>
      <xdr:spPr bwMode="auto">
        <a:xfrm>
          <a:off x="76352400" y="9848850"/>
          <a:ext cx="190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103</xdr:col>
      <xdr:colOff>438150</xdr:colOff>
      <xdr:row>42</xdr:row>
      <xdr:rowOff>123825</xdr:rowOff>
    </xdr:from>
    <xdr:to>
      <xdr:col>104</xdr:col>
      <xdr:colOff>9525</xdr:colOff>
      <xdr:row>43</xdr:row>
      <xdr:rowOff>76200</xdr:rowOff>
    </xdr:to>
    <xdr:sp macro="" textlink="">
      <xdr:nvSpPr>
        <xdr:cNvPr id="315980" name="Rectangle 27"/>
        <xdr:cNvSpPr>
          <a:spLocks noChangeArrowheads="1"/>
        </xdr:cNvSpPr>
      </xdr:nvSpPr>
      <xdr:spPr bwMode="auto">
        <a:xfrm>
          <a:off x="76352400" y="9096375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103</xdr:col>
      <xdr:colOff>438150</xdr:colOff>
      <xdr:row>43</xdr:row>
      <xdr:rowOff>76200</xdr:rowOff>
    </xdr:from>
    <xdr:to>
      <xdr:col>104</xdr:col>
      <xdr:colOff>9525</xdr:colOff>
      <xdr:row>44</xdr:row>
      <xdr:rowOff>28575</xdr:rowOff>
    </xdr:to>
    <xdr:sp macro="" textlink="">
      <xdr:nvSpPr>
        <xdr:cNvPr id="315981" name="Rectangle 28"/>
        <xdr:cNvSpPr>
          <a:spLocks noChangeArrowheads="1"/>
        </xdr:cNvSpPr>
      </xdr:nvSpPr>
      <xdr:spPr bwMode="auto">
        <a:xfrm>
          <a:off x="76352400" y="9248775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103</xdr:col>
      <xdr:colOff>438150</xdr:colOff>
      <xdr:row>3</xdr:row>
      <xdr:rowOff>66675</xdr:rowOff>
    </xdr:from>
    <xdr:to>
      <xdr:col>104</xdr:col>
      <xdr:colOff>9525</xdr:colOff>
      <xdr:row>4</xdr:row>
      <xdr:rowOff>9525</xdr:rowOff>
    </xdr:to>
    <xdr:sp macro="" textlink="">
      <xdr:nvSpPr>
        <xdr:cNvPr id="315982" name="Rectangle 28"/>
        <xdr:cNvSpPr>
          <a:spLocks noChangeArrowheads="1"/>
        </xdr:cNvSpPr>
      </xdr:nvSpPr>
      <xdr:spPr bwMode="auto">
        <a:xfrm>
          <a:off x="76352400" y="1238250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103</xdr:col>
      <xdr:colOff>438150</xdr:colOff>
      <xdr:row>5</xdr:row>
      <xdr:rowOff>95250</xdr:rowOff>
    </xdr:from>
    <xdr:to>
      <xdr:col>104</xdr:col>
      <xdr:colOff>9525</xdr:colOff>
      <xdr:row>6</xdr:row>
      <xdr:rowOff>57150</xdr:rowOff>
    </xdr:to>
    <xdr:sp macro="" textlink="">
      <xdr:nvSpPr>
        <xdr:cNvPr id="315983" name="Rectangle 27"/>
        <xdr:cNvSpPr>
          <a:spLocks noChangeArrowheads="1"/>
        </xdr:cNvSpPr>
      </xdr:nvSpPr>
      <xdr:spPr bwMode="auto">
        <a:xfrm>
          <a:off x="76352400" y="1666875"/>
          <a:ext cx="190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103</xdr:col>
      <xdr:colOff>438150</xdr:colOff>
      <xdr:row>3</xdr:row>
      <xdr:rowOff>66675</xdr:rowOff>
    </xdr:from>
    <xdr:to>
      <xdr:col>104</xdr:col>
      <xdr:colOff>9525</xdr:colOff>
      <xdr:row>4</xdr:row>
      <xdr:rowOff>9525</xdr:rowOff>
    </xdr:to>
    <xdr:sp macro="" textlink="">
      <xdr:nvSpPr>
        <xdr:cNvPr id="315984" name="Rectangle 28"/>
        <xdr:cNvSpPr>
          <a:spLocks noChangeArrowheads="1"/>
        </xdr:cNvSpPr>
      </xdr:nvSpPr>
      <xdr:spPr bwMode="auto">
        <a:xfrm>
          <a:off x="76352400" y="1238250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103</xdr:col>
      <xdr:colOff>438150</xdr:colOff>
      <xdr:row>10</xdr:row>
      <xdr:rowOff>38100</xdr:rowOff>
    </xdr:from>
    <xdr:to>
      <xdr:col>104</xdr:col>
      <xdr:colOff>9525</xdr:colOff>
      <xdr:row>10</xdr:row>
      <xdr:rowOff>190500</xdr:rowOff>
    </xdr:to>
    <xdr:sp macro="" textlink="">
      <xdr:nvSpPr>
        <xdr:cNvPr id="315985" name="Rectangle 27"/>
        <xdr:cNvSpPr>
          <a:spLocks noChangeArrowheads="1"/>
        </xdr:cNvSpPr>
      </xdr:nvSpPr>
      <xdr:spPr bwMode="auto">
        <a:xfrm>
          <a:off x="76352400" y="2609850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103</xdr:col>
      <xdr:colOff>438150</xdr:colOff>
      <xdr:row>8</xdr:row>
      <xdr:rowOff>9525</xdr:rowOff>
    </xdr:from>
    <xdr:to>
      <xdr:col>104</xdr:col>
      <xdr:colOff>9525</xdr:colOff>
      <xdr:row>8</xdr:row>
      <xdr:rowOff>171450</xdr:rowOff>
    </xdr:to>
    <xdr:sp macro="" textlink="">
      <xdr:nvSpPr>
        <xdr:cNvPr id="315986" name="Rectangle 28"/>
        <xdr:cNvSpPr>
          <a:spLocks noChangeArrowheads="1"/>
        </xdr:cNvSpPr>
      </xdr:nvSpPr>
      <xdr:spPr bwMode="auto">
        <a:xfrm>
          <a:off x="76352400" y="2181225"/>
          <a:ext cx="190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103</xdr:col>
      <xdr:colOff>438150</xdr:colOff>
      <xdr:row>14</xdr:row>
      <xdr:rowOff>190500</xdr:rowOff>
    </xdr:from>
    <xdr:to>
      <xdr:col>104</xdr:col>
      <xdr:colOff>9525</xdr:colOff>
      <xdr:row>15</xdr:row>
      <xdr:rowOff>142875</xdr:rowOff>
    </xdr:to>
    <xdr:sp macro="" textlink="">
      <xdr:nvSpPr>
        <xdr:cNvPr id="315987" name="Rectangle 27"/>
        <xdr:cNvSpPr>
          <a:spLocks noChangeArrowheads="1"/>
        </xdr:cNvSpPr>
      </xdr:nvSpPr>
      <xdr:spPr bwMode="auto">
        <a:xfrm>
          <a:off x="76352400" y="3562350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103</xdr:col>
      <xdr:colOff>438150</xdr:colOff>
      <xdr:row>12</xdr:row>
      <xdr:rowOff>190500</xdr:rowOff>
    </xdr:from>
    <xdr:to>
      <xdr:col>104</xdr:col>
      <xdr:colOff>9525</xdr:colOff>
      <xdr:row>13</xdr:row>
      <xdr:rowOff>133350</xdr:rowOff>
    </xdr:to>
    <xdr:sp macro="" textlink="">
      <xdr:nvSpPr>
        <xdr:cNvPr id="315988" name="Rectangle 28"/>
        <xdr:cNvSpPr>
          <a:spLocks noChangeArrowheads="1"/>
        </xdr:cNvSpPr>
      </xdr:nvSpPr>
      <xdr:spPr bwMode="auto">
        <a:xfrm>
          <a:off x="76352400" y="3162300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103</xdr:col>
      <xdr:colOff>438150</xdr:colOff>
      <xdr:row>19</xdr:row>
      <xdr:rowOff>142875</xdr:rowOff>
    </xdr:from>
    <xdr:to>
      <xdr:col>104</xdr:col>
      <xdr:colOff>9525</xdr:colOff>
      <xdr:row>20</xdr:row>
      <xdr:rowOff>104775</xdr:rowOff>
    </xdr:to>
    <xdr:sp macro="" textlink="">
      <xdr:nvSpPr>
        <xdr:cNvPr id="315989" name="Rectangle 27"/>
        <xdr:cNvSpPr>
          <a:spLocks noChangeArrowheads="1"/>
        </xdr:cNvSpPr>
      </xdr:nvSpPr>
      <xdr:spPr bwMode="auto">
        <a:xfrm>
          <a:off x="76352400" y="4514850"/>
          <a:ext cx="190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103</xdr:col>
      <xdr:colOff>438150</xdr:colOff>
      <xdr:row>17</xdr:row>
      <xdr:rowOff>133350</xdr:rowOff>
    </xdr:from>
    <xdr:to>
      <xdr:col>104</xdr:col>
      <xdr:colOff>9525</xdr:colOff>
      <xdr:row>18</xdr:row>
      <xdr:rowOff>76200</xdr:rowOff>
    </xdr:to>
    <xdr:sp macro="" textlink="">
      <xdr:nvSpPr>
        <xdr:cNvPr id="315990" name="Rectangle 28"/>
        <xdr:cNvSpPr>
          <a:spLocks noChangeArrowheads="1"/>
        </xdr:cNvSpPr>
      </xdr:nvSpPr>
      <xdr:spPr bwMode="auto">
        <a:xfrm>
          <a:off x="76352400" y="4105275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103</xdr:col>
      <xdr:colOff>438150</xdr:colOff>
      <xdr:row>24</xdr:row>
      <xdr:rowOff>104775</xdr:rowOff>
    </xdr:from>
    <xdr:to>
      <xdr:col>104</xdr:col>
      <xdr:colOff>9525</xdr:colOff>
      <xdr:row>25</xdr:row>
      <xdr:rowOff>57150</xdr:rowOff>
    </xdr:to>
    <xdr:sp macro="" textlink="">
      <xdr:nvSpPr>
        <xdr:cNvPr id="315991" name="Rectangle 27"/>
        <xdr:cNvSpPr>
          <a:spLocks noChangeArrowheads="1"/>
        </xdr:cNvSpPr>
      </xdr:nvSpPr>
      <xdr:spPr bwMode="auto">
        <a:xfrm>
          <a:off x="76352400" y="5476875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103</xdr:col>
      <xdr:colOff>438150</xdr:colOff>
      <xdr:row>22</xdr:row>
      <xdr:rowOff>76200</xdr:rowOff>
    </xdr:from>
    <xdr:to>
      <xdr:col>104</xdr:col>
      <xdr:colOff>9525</xdr:colOff>
      <xdr:row>23</xdr:row>
      <xdr:rowOff>28575</xdr:rowOff>
    </xdr:to>
    <xdr:sp macro="" textlink="">
      <xdr:nvSpPr>
        <xdr:cNvPr id="315992" name="Rectangle 28"/>
        <xdr:cNvSpPr>
          <a:spLocks noChangeArrowheads="1"/>
        </xdr:cNvSpPr>
      </xdr:nvSpPr>
      <xdr:spPr bwMode="auto">
        <a:xfrm>
          <a:off x="76352400" y="5048250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103</xdr:col>
      <xdr:colOff>438150</xdr:colOff>
      <xdr:row>29</xdr:row>
      <xdr:rowOff>57150</xdr:rowOff>
    </xdr:from>
    <xdr:to>
      <xdr:col>104</xdr:col>
      <xdr:colOff>9525</xdr:colOff>
      <xdr:row>29</xdr:row>
      <xdr:rowOff>200025</xdr:rowOff>
    </xdr:to>
    <xdr:sp macro="" textlink="">
      <xdr:nvSpPr>
        <xdr:cNvPr id="315993" name="Rectangle 27"/>
        <xdr:cNvSpPr>
          <a:spLocks noChangeArrowheads="1"/>
        </xdr:cNvSpPr>
      </xdr:nvSpPr>
      <xdr:spPr bwMode="auto">
        <a:xfrm>
          <a:off x="76352400" y="6429375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103</xdr:col>
      <xdr:colOff>438150</xdr:colOff>
      <xdr:row>27</xdr:row>
      <xdr:rowOff>28575</xdr:rowOff>
    </xdr:from>
    <xdr:to>
      <xdr:col>104</xdr:col>
      <xdr:colOff>9525</xdr:colOff>
      <xdr:row>27</xdr:row>
      <xdr:rowOff>190500</xdr:rowOff>
    </xdr:to>
    <xdr:sp macro="" textlink="">
      <xdr:nvSpPr>
        <xdr:cNvPr id="315994" name="Rectangle 28"/>
        <xdr:cNvSpPr>
          <a:spLocks noChangeArrowheads="1"/>
        </xdr:cNvSpPr>
      </xdr:nvSpPr>
      <xdr:spPr bwMode="auto">
        <a:xfrm>
          <a:off x="76352400" y="6000750"/>
          <a:ext cx="190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103</xdr:col>
      <xdr:colOff>438150</xdr:colOff>
      <xdr:row>34</xdr:row>
      <xdr:rowOff>0</xdr:rowOff>
    </xdr:from>
    <xdr:to>
      <xdr:col>104</xdr:col>
      <xdr:colOff>9525</xdr:colOff>
      <xdr:row>34</xdr:row>
      <xdr:rowOff>142875</xdr:rowOff>
    </xdr:to>
    <xdr:sp macro="" textlink="">
      <xdr:nvSpPr>
        <xdr:cNvPr id="315995" name="Rectangle 27"/>
        <xdr:cNvSpPr>
          <a:spLocks noChangeArrowheads="1"/>
        </xdr:cNvSpPr>
      </xdr:nvSpPr>
      <xdr:spPr bwMode="auto">
        <a:xfrm>
          <a:off x="76352400" y="7372350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103</xdr:col>
      <xdr:colOff>438150</xdr:colOff>
      <xdr:row>31</xdr:row>
      <xdr:rowOff>190500</xdr:rowOff>
    </xdr:from>
    <xdr:to>
      <xdr:col>104</xdr:col>
      <xdr:colOff>9525</xdr:colOff>
      <xdr:row>32</xdr:row>
      <xdr:rowOff>142875</xdr:rowOff>
    </xdr:to>
    <xdr:sp macro="" textlink="">
      <xdr:nvSpPr>
        <xdr:cNvPr id="315996" name="Rectangle 28"/>
        <xdr:cNvSpPr>
          <a:spLocks noChangeArrowheads="1"/>
        </xdr:cNvSpPr>
      </xdr:nvSpPr>
      <xdr:spPr bwMode="auto">
        <a:xfrm>
          <a:off x="76352400" y="6962775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103</xdr:col>
      <xdr:colOff>438150</xdr:colOff>
      <xdr:row>38</xdr:row>
      <xdr:rowOff>161925</xdr:rowOff>
    </xdr:from>
    <xdr:to>
      <xdr:col>104</xdr:col>
      <xdr:colOff>9525</xdr:colOff>
      <xdr:row>39</xdr:row>
      <xdr:rowOff>123825</xdr:rowOff>
    </xdr:to>
    <xdr:sp macro="" textlink="">
      <xdr:nvSpPr>
        <xdr:cNvPr id="315997" name="Rectangle 27"/>
        <xdr:cNvSpPr>
          <a:spLocks noChangeArrowheads="1"/>
        </xdr:cNvSpPr>
      </xdr:nvSpPr>
      <xdr:spPr bwMode="auto">
        <a:xfrm>
          <a:off x="76352400" y="8334375"/>
          <a:ext cx="190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103</xdr:col>
      <xdr:colOff>438150</xdr:colOff>
      <xdr:row>36</xdr:row>
      <xdr:rowOff>142875</xdr:rowOff>
    </xdr:from>
    <xdr:to>
      <xdr:col>104</xdr:col>
      <xdr:colOff>9525</xdr:colOff>
      <xdr:row>37</xdr:row>
      <xdr:rowOff>95250</xdr:rowOff>
    </xdr:to>
    <xdr:sp macro="" textlink="">
      <xdr:nvSpPr>
        <xdr:cNvPr id="315998" name="Rectangle 28"/>
        <xdr:cNvSpPr>
          <a:spLocks noChangeArrowheads="1"/>
        </xdr:cNvSpPr>
      </xdr:nvSpPr>
      <xdr:spPr bwMode="auto">
        <a:xfrm>
          <a:off x="76352400" y="7915275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103</xdr:col>
      <xdr:colOff>438150</xdr:colOff>
      <xdr:row>43</xdr:row>
      <xdr:rowOff>123825</xdr:rowOff>
    </xdr:from>
    <xdr:to>
      <xdr:col>104</xdr:col>
      <xdr:colOff>9525</xdr:colOff>
      <xdr:row>44</xdr:row>
      <xdr:rowOff>66675</xdr:rowOff>
    </xdr:to>
    <xdr:sp macro="" textlink="">
      <xdr:nvSpPr>
        <xdr:cNvPr id="315999" name="Rectangle 27"/>
        <xdr:cNvSpPr>
          <a:spLocks noChangeArrowheads="1"/>
        </xdr:cNvSpPr>
      </xdr:nvSpPr>
      <xdr:spPr bwMode="auto">
        <a:xfrm>
          <a:off x="76352400" y="9296400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103</xdr:col>
      <xdr:colOff>438150</xdr:colOff>
      <xdr:row>41</xdr:row>
      <xdr:rowOff>76200</xdr:rowOff>
    </xdr:from>
    <xdr:to>
      <xdr:col>104</xdr:col>
      <xdr:colOff>9525</xdr:colOff>
      <xdr:row>42</xdr:row>
      <xdr:rowOff>38100</xdr:rowOff>
    </xdr:to>
    <xdr:sp macro="" textlink="">
      <xdr:nvSpPr>
        <xdr:cNvPr id="316000" name="Rectangle 28"/>
        <xdr:cNvSpPr>
          <a:spLocks noChangeArrowheads="1"/>
        </xdr:cNvSpPr>
      </xdr:nvSpPr>
      <xdr:spPr bwMode="auto">
        <a:xfrm>
          <a:off x="76352400" y="8848725"/>
          <a:ext cx="190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103</xdr:col>
      <xdr:colOff>438150</xdr:colOff>
      <xdr:row>48</xdr:row>
      <xdr:rowOff>57150</xdr:rowOff>
    </xdr:from>
    <xdr:to>
      <xdr:col>104</xdr:col>
      <xdr:colOff>9525</xdr:colOff>
      <xdr:row>49</xdr:row>
      <xdr:rowOff>9525</xdr:rowOff>
    </xdr:to>
    <xdr:sp macro="" textlink="">
      <xdr:nvSpPr>
        <xdr:cNvPr id="316001" name="Rectangle 27"/>
        <xdr:cNvSpPr>
          <a:spLocks noChangeArrowheads="1"/>
        </xdr:cNvSpPr>
      </xdr:nvSpPr>
      <xdr:spPr bwMode="auto">
        <a:xfrm>
          <a:off x="76352400" y="10229850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103</xdr:col>
      <xdr:colOff>438150</xdr:colOff>
      <xdr:row>46</xdr:row>
      <xdr:rowOff>38100</xdr:rowOff>
    </xdr:from>
    <xdr:to>
      <xdr:col>104</xdr:col>
      <xdr:colOff>9525</xdr:colOff>
      <xdr:row>46</xdr:row>
      <xdr:rowOff>190500</xdr:rowOff>
    </xdr:to>
    <xdr:sp macro="" textlink="">
      <xdr:nvSpPr>
        <xdr:cNvPr id="316002" name="Rectangle 28"/>
        <xdr:cNvSpPr>
          <a:spLocks noChangeArrowheads="1"/>
        </xdr:cNvSpPr>
      </xdr:nvSpPr>
      <xdr:spPr bwMode="auto">
        <a:xfrm>
          <a:off x="76352400" y="9810750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103</xdr:col>
      <xdr:colOff>438150</xdr:colOff>
      <xdr:row>5</xdr:row>
      <xdr:rowOff>95250</xdr:rowOff>
    </xdr:from>
    <xdr:to>
      <xdr:col>104</xdr:col>
      <xdr:colOff>9525</xdr:colOff>
      <xdr:row>6</xdr:row>
      <xdr:rowOff>57150</xdr:rowOff>
    </xdr:to>
    <xdr:sp macro="" textlink="">
      <xdr:nvSpPr>
        <xdr:cNvPr id="316003" name="Rectangle 27"/>
        <xdr:cNvSpPr>
          <a:spLocks noChangeArrowheads="1"/>
        </xdr:cNvSpPr>
      </xdr:nvSpPr>
      <xdr:spPr bwMode="auto">
        <a:xfrm>
          <a:off x="76352400" y="1666875"/>
          <a:ext cx="190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103</xdr:col>
      <xdr:colOff>438150</xdr:colOff>
      <xdr:row>3</xdr:row>
      <xdr:rowOff>66675</xdr:rowOff>
    </xdr:from>
    <xdr:to>
      <xdr:col>104</xdr:col>
      <xdr:colOff>9525</xdr:colOff>
      <xdr:row>4</xdr:row>
      <xdr:rowOff>9525</xdr:rowOff>
    </xdr:to>
    <xdr:sp macro="" textlink="">
      <xdr:nvSpPr>
        <xdr:cNvPr id="316004" name="Rectangle 28"/>
        <xdr:cNvSpPr>
          <a:spLocks noChangeArrowheads="1"/>
        </xdr:cNvSpPr>
      </xdr:nvSpPr>
      <xdr:spPr bwMode="auto">
        <a:xfrm>
          <a:off x="76352400" y="1238250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103</xdr:col>
      <xdr:colOff>438150</xdr:colOff>
      <xdr:row>10</xdr:row>
      <xdr:rowOff>38100</xdr:rowOff>
    </xdr:from>
    <xdr:to>
      <xdr:col>104</xdr:col>
      <xdr:colOff>9525</xdr:colOff>
      <xdr:row>10</xdr:row>
      <xdr:rowOff>190500</xdr:rowOff>
    </xdr:to>
    <xdr:sp macro="" textlink="">
      <xdr:nvSpPr>
        <xdr:cNvPr id="316005" name="Rectangle 27"/>
        <xdr:cNvSpPr>
          <a:spLocks noChangeArrowheads="1"/>
        </xdr:cNvSpPr>
      </xdr:nvSpPr>
      <xdr:spPr bwMode="auto">
        <a:xfrm>
          <a:off x="76352400" y="2609850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103</xdr:col>
      <xdr:colOff>438150</xdr:colOff>
      <xdr:row>8</xdr:row>
      <xdr:rowOff>9525</xdr:rowOff>
    </xdr:from>
    <xdr:to>
      <xdr:col>104</xdr:col>
      <xdr:colOff>9525</xdr:colOff>
      <xdr:row>8</xdr:row>
      <xdr:rowOff>171450</xdr:rowOff>
    </xdr:to>
    <xdr:sp macro="" textlink="">
      <xdr:nvSpPr>
        <xdr:cNvPr id="316006" name="Rectangle 28"/>
        <xdr:cNvSpPr>
          <a:spLocks noChangeArrowheads="1"/>
        </xdr:cNvSpPr>
      </xdr:nvSpPr>
      <xdr:spPr bwMode="auto">
        <a:xfrm>
          <a:off x="76352400" y="2181225"/>
          <a:ext cx="190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103</xdr:col>
      <xdr:colOff>438150</xdr:colOff>
      <xdr:row>14</xdr:row>
      <xdr:rowOff>190500</xdr:rowOff>
    </xdr:from>
    <xdr:to>
      <xdr:col>104</xdr:col>
      <xdr:colOff>9525</xdr:colOff>
      <xdr:row>15</xdr:row>
      <xdr:rowOff>142875</xdr:rowOff>
    </xdr:to>
    <xdr:sp macro="" textlink="">
      <xdr:nvSpPr>
        <xdr:cNvPr id="316007" name="Rectangle 27"/>
        <xdr:cNvSpPr>
          <a:spLocks noChangeArrowheads="1"/>
        </xdr:cNvSpPr>
      </xdr:nvSpPr>
      <xdr:spPr bwMode="auto">
        <a:xfrm>
          <a:off x="76352400" y="3562350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103</xdr:col>
      <xdr:colOff>438150</xdr:colOff>
      <xdr:row>12</xdr:row>
      <xdr:rowOff>190500</xdr:rowOff>
    </xdr:from>
    <xdr:to>
      <xdr:col>104</xdr:col>
      <xdr:colOff>9525</xdr:colOff>
      <xdr:row>13</xdr:row>
      <xdr:rowOff>133350</xdr:rowOff>
    </xdr:to>
    <xdr:sp macro="" textlink="">
      <xdr:nvSpPr>
        <xdr:cNvPr id="316008" name="Rectangle 28"/>
        <xdr:cNvSpPr>
          <a:spLocks noChangeArrowheads="1"/>
        </xdr:cNvSpPr>
      </xdr:nvSpPr>
      <xdr:spPr bwMode="auto">
        <a:xfrm>
          <a:off x="76352400" y="3162300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103</xdr:col>
      <xdr:colOff>438150</xdr:colOff>
      <xdr:row>19</xdr:row>
      <xdr:rowOff>142875</xdr:rowOff>
    </xdr:from>
    <xdr:to>
      <xdr:col>104</xdr:col>
      <xdr:colOff>9525</xdr:colOff>
      <xdr:row>20</xdr:row>
      <xdr:rowOff>104775</xdr:rowOff>
    </xdr:to>
    <xdr:sp macro="" textlink="">
      <xdr:nvSpPr>
        <xdr:cNvPr id="316009" name="Rectangle 27"/>
        <xdr:cNvSpPr>
          <a:spLocks noChangeArrowheads="1"/>
        </xdr:cNvSpPr>
      </xdr:nvSpPr>
      <xdr:spPr bwMode="auto">
        <a:xfrm>
          <a:off x="76352400" y="4514850"/>
          <a:ext cx="190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103</xdr:col>
      <xdr:colOff>438150</xdr:colOff>
      <xdr:row>17</xdr:row>
      <xdr:rowOff>133350</xdr:rowOff>
    </xdr:from>
    <xdr:to>
      <xdr:col>104</xdr:col>
      <xdr:colOff>9525</xdr:colOff>
      <xdr:row>18</xdr:row>
      <xdr:rowOff>76200</xdr:rowOff>
    </xdr:to>
    <xdr:sp macro="" textlink="">
      <xdr:nvSpPr>
        <xdr:cNvPr id="316010" name="Rectangle 28"/>
        <xdr:cNvSpPr>
          <a:spLocks noChangeArrowheads="1"/>
        </xdr:cNvSpPr>
      </xdr:nvSpPr>
      <xdr:spPr bwMode="auto">
        <a:xfrm>
          <a:off x="76352400" y="4105275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103</xdr:col>
      <xdr:colOff>438150</xdr:colOff>
      <xdr:row>24</xdr:row>
      <xdr:rowOff>104775</xdr:rowOff>
    </xdr:from>
    <xdr:to>
      <xdr:col>104</xdr:col>
      <xdr:colOff>9525</xdr:colOff>
      <xdr:row>25</xdr:row>
      <xdr:rowOff>57150</xdr:rowOff>
    </xdr:to>
    <xdr:sp macro="" textlink="">
      <xdr:nvSpPr>
        <xdr:cNvPr id="316011" name="Rectangle 27"/>
        <xdr:cNvSpPr>
          <a:spLocks noChangeArrowheads="1"/>
        </xdr:cNvSpPr>
      </xdr:nvSpPr>
      <xdr:spPr bwMode="auto">
        <a:xfrm>
          <a:off x="76352400" y="5476875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103</xdr:col>
      <xdr:colOff>438150</xdr:colOff>
      <xdr:row>22</xdr:row>
      <xdr:rowOff>76200</xdr:rowOff>
    </xdr:from>
    <xdr:to>
      <xdr:col>104</xdr:col>
      <xdr:colOff>9525</xdr:colOff>
      <xdr:row>23</xdr:row>
      <xdr:rowOff>28575</xdr:rowOff>
    </xdr:to>
    <xdr:sp macro="" textlink="">
      <xdr:nvSpPr>
        <xdr:cNvPr id="316012" name="Rectangle 28"/>
        <xdr:cNvSpPr>
          <a:spLocks noChangeArrowheads="1"/>
        </xdr:cNvSpPr>
      </xdr:nvSpPr>
      <xdr:spPr bwMode="auto">
        <a:xfrm>
          <a:off x="76352400" y="5048250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103</xdr:col>
      <xdr:colOff>438150</xdr:colOff>
      <xdr:row>29</xdr:row>
      <xdr:rowOff>57150</xdr:rowOff>
    </xdr:from>
    <xdr:to>
      <xdr:col>104</xdr:col>
      <xdr:colOff>9525</xdr:colOff>
      <xdr:row>29</xdr:row>
      <xdr:rowOff>200025</xdr:rowOff>
    </xdr:to>
    <xdr:sp macro="" textlink="">
      <xdr:nvSpPr>
        <xdr:cNvPr id="316013" name="Rectangle 27"/>
        <xdr:cNvSpPr>
          <a:spLocks noChangeArrowheads="1"/>
        </xdr:cNvSpPr>
      </xdr:nvSpPr>
      <xdr:spPr bwMode="auto">
        <a:xfrm>
          <a:off x="76352400" y="6429375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103</xdr:col>
      <xdr:colOff>438150</xdr:colOff>
      <xdr:row>27</xdr:row>
      <xdr:rowOff>28575</xdr:rowOff>
    </xdr:from>
    <xdr:to>
      <xdr:col>104</xdr:col>
      <xdr:colOff>9525</xdr:colOff>
      <xdr:row>27</xdr:row>
      <xdr:rowOff>190500</xdr:rowOff>
    </xdr:to>
    <xdr:sp macro="" textlink="">
      <xdr:nvSpPr>
        <xdr:cNvPr id="316014" name="Rectangle 28"/>
        <xdr:cNvSpPr>
          <a:spLocks noChangeArrowheads="1"/>
        </xdr:cNvSpPr>
      </xdr:nvSpPr>
      <xdr:spPr bwMode="auto">
        <a:xfrm>
          <a:off x="76352400" y="6000750"/>
          <a:ext cx="190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103</xdr:col>
      <xdr:colOff>438150</xdr:colOff>
      <xdr:row>34</xdr:row>
      <xdr:rowOff>0</xdr:rowOff>
    </xdr:from>
    <xdr:to>
      <xdr:col>104</xdr:col>
      <xdr:colOff>9525</xdr:colOff>
      <xdr:row>34</xdr:row>
      <xdr:rowOff>142875</xdr:rowOff>
    </xdr:to>
    <xdr:sp macro="" textlink="">
      <xdr:nvSpPr>
        <xdr:cNvPr id="316015" name="Rectangle 27"/>
        <xdr:cNvSpPr>
          <a:spLocks noChangeArrowheads="1"/>
        </xdr:cNvSpPr>
      </xdr:nvSpPr>
      <xdr:spPr bwMode="auto">
        <a:xfrm>
          <a:off x="76352400" y="7372350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103</xdr:col>
      <xdr:colOff>438150</xdr:colOff>
      <xdr:row>31</xdr:row>
      <xdr:rowOff>190500</xdr:rowOff>
    </xdr:from>
    <xdr:to>
      <xdr:col>104</xdr:col>
      <xdr:colOff>9525</xdr:colOff>
      <xdr:row>32</xdr:row>
      <xdr:rowOff>142875</xdr:rowOff>
    </xdr:to>
    <xdr:sp macro="" textlink="">
      <xdr:nvSpPr>
        <xdr:cNvPr id="316016" name="Rectangle 28"/>
        <xdr:cNvSpPr>
          <a:spLocks noChangeArrowheads="1"/>
        </xdr:cNvSpPr>
      </xdr:nvSpPr>
      <xdr:spPr bwMode="auto">
        <a:xfrm>
          <a:off x="76352400" y="6962775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103</xdr:col>
      <xdr:colOff>438150</xdr:colOff>
      <xdr:row>38</xdr:row>
      <xdr:rowOff>161925</xdr:rowOff>
    </xdr:from>
    <xdr:to>
      <xdr:col>104</xdr:col>
      <xdr:colOff>9525</xdr:colOff>
      <xdr:row>39</xdr:row>
      <xdr:rowOff>123825</xdr:rowOff>
    </xdr:to>
    <xdr:sp macro="" textlink="">
      <xdr:nvSpPr>
        <xdr:cNvPr id="316017" name="Rectangle 27"/>
        <xdr:cNvSpPr>
          <a:spLocks noChangeArrowheads="1"/>
        </xdr:cNvSpPr>
      </xdr:nvSpPr>
      <xdr:spPr bwMode="auto">
        <a:xfrm>
          <a:off x="76352400" y="8334375"/>
          <a:ext cx="190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103</xdr:col>
      <xdr:colOff>438150</xdr:colOff>
      <xdr:row>36</xdr:row>
      <xdr:rowOff>142875</xdr:rowOff>
    </xdr:from>
    <xdr:to>
      <xdr:col>104</xdr:col>
      <xdr:colOff>9525</xdr:colOff>
      <xdr:row>37</xdr:row>
      <xdr:rowOff>95250</xdr:rowOff>
    </xdr:to>
    <xdr:sp macro="" textlink="">
      <xdr:nvSpPr>
        <xdr:cNvPr id="316018" name="Rectangle 28"/>
        <xdr:cNvSpPr>
          <a:spLocks noChangeArrowheads="1"/>
        </xdr:cNvSpPr>
      </xdr:nvSpPr>
      <xdr:spPr bwMode="auto">
        <a:xfrm>
          <a:off x="76352400" y="7915275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103</xdr:col>
      <xdr:colOff>438150</xdr:colOff>
      <xdr:row>43</xdr:row>
      <xdr:rowOff>123825</xdr:rowOff>
    </xdr:from>
    <xdr:to>
      <xdr:col>104</xdr:col>
      <xdr:colOff>9525</xdr:colOff>
      <xdr:row>44</xdr:row>
      <xdr:rowOff>66675</xdr:rowOff>
    </xdr:to>
    <xdr:sp macro="" textlink="">
      <xdr:nvSpPr>
        <xdr:cNvPr id="316019" name="Rectangle 27"/>
        <xdr:cNvSpPr>
          <a:spLocks noChangeArrowheads="1"/>
        </xdr:cNvSpPr>
      </xdr:nvSpPr>
      <xdr:spPr bwMode="auto">
        <a:xfrm>
          <a:off x="76352400" y="9296400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103</xdr:col>
      <xdr:colOff>438150</xdr:colOff>
      <xdr:row>41</xdr:row>
      <xdr:rowOff>76200</xdr:rowOff>
    </xdr:from>
    <xdr:to>
      <xdr:col>104</xdr:col>
      <xdr:colOff>9525</xdr:colOff>
      <xdr:row>42</xdr:row>
      <xdr:rowOff>38100</xdr:rowOff>
    </xdr:to>
    <xdr:sp macro="" textlink="">
      <xdr:nvSpPr>
        <xdr:cNvPr id="316020" name="Rectangle 28"/>
        <xdr:cNvSpPr>
          <a:spLocks noChangeArrowheads="1"/>
        </xdr:cNvSpPr>
      </xdr:nvSpPr>
      <xdr:spPr bwMode="auto">
        <a:xfrm>
          <a:off x="76352400" y="8848725"/>
          <a:ext cx="190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103</xdr:col>
      <xdr:colOff>438150</xdr:colOff>
      <xdr:row>48</xdr:row>
      <xdr:rowOff>57150</xdr:rowOff>
    </xdr:from>
    <xdr:to>
      <xdr:col>104</xdr:col>
      <xdr:colOff>9525</xdr:colOff>
      <xdr:row>49</xdr:row>
      <xdr:rowOff>9525</xdr:rowOff>
    </xdr:to>
    <xdr:sp macro="" textlink="">
      <xdr:nvSpPr>
        <xdr:cNvPr id="316021" name="Rectangle 27"/>
        <xdr:cNvSpPr>
          <a:spLocks noChangeArrowheads="1"/>
        </xdr:cNvSpPr>
      </xdr:nvSpPr>
      <xdr:spPr bwMode="auto">
        <a:xfrm>
          <a:off x="76352400" y="10229850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103</xdr:col>
      <xdr:colOff>438150</xdr:colOff>
      <xdr:row>46</xdr:row>
      <xdr:rowOff>38100</xdr:rowOff>
    </xdr:from>
    <xdr:to>
      <xdr:col>104</xdr:col>
      <xdr:colOff>9525</xdr:colOff>
      <xdr:row>46</xdr:row>
      <xdr:rowOff>190500</xdr:rowOff>
    </xdr:to>
    <xdr:sp macro="" textlink="">
      <xdr:nvSpPr>
        <xdr:cNvPr id="316022" name="Rectangle 28"/>
        <xdr:cNvSpPr>
          <a:spLocks noChangeArrowheads="1"/>
        </xdr:cNvSpPr>
      </xdr:nvSpPr>
      <xdr:spPr bwMode="auto">
        <a:xfrm>
          <a:off x="76352400" y="9810750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103</xdr:col>
      <xdr:colOff>438150</xdr:colOff>
      <xdr:row>5</xdr:row>
      <xdr:rowOff>95250</xdr:rowOff>
    </xdr:from>
    <xdr:to>
      <xdr:col>104</xdr:col>
      <xdr:colOff>9525</xdr:colOff>
      <xdr:row>6</xdr:row>
      <xdr:rowOff>57150</xdr:rowOff>
    </xdr:to>
    <xdr:sp macro="" textlink="">
      <xdr:nvSpPr>
        <xdr:cNvPr id="316023" name="Rectangle 27"/>
        <xdr:cNvSpPr>
          <a:spLocks noChangeArrowheads="1"/>
        </xdr:cNvSpPr>
      </xdr:nvSpPr>
      <xdr:spPr bwMode="auto">
        <a:xfrm>
          <a:off x="76352400" y="1666875"/>
          <a:ext cx="190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103</xdr:col>
      <xdr:colOff>438150</xdr:colOff>
      <xdr:row>3</xdr:row>
      <xdr:rowOff>66675</xdr:rowOff>
    </xdr:from>
    <xdr:to>
      <xdr:col>104</xdr:col>
      <xdr:colOff>9525</xdr:colOff>
      <xdr:row>4</xdr:row>
      <xdr:rowOff>9525</xdr:rowOff>
    </xdr:to>
    <xdr:sp macro="" textlink="">
      <xdr:nvSpPr>
        <xdr:cNvPr id="316024" name="Rectangle 28"/>
        <xdr:cNvSpPr>
          <a:spLocks noChangeArrowheads="1"/>
        </xdr:cNvSpPr>
      </xdr:nvSpPr>
      <xdr:spPr bwMode="auto">
        <a:xfrm>
          <a:off x="76352400" y="1238250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103</xdr:col>
      <xdr:colOff>438150</xdr:colOff>
      <xdr:row>10</xdr:row>
      <xdr:rowOff>38100</xdr:rowOff>
    </xdr:from>
    <xdr:to>
      <xdr:col>104</xdr:col>
      <xdr:colOff>9525</xdr:colOff>
      <xdr:row>10</xdr:row>
      <xdr:rowOff>190500</xdr:rowOff>
    </xdr:to>
    <xdr:sp macro="" textlink="">
      <xdr:nvSpPr>
        <xdr:cNvPr id="316025" name="Rectangle 27"/>
        <xdr:cNvSpPr>
          <a:spLocks noChangeArrowheads="1"/>
        </xdr:cNvSpPr>
      </xdr:nvSpPr>
      <xdr:spPr bwMode="auto">
        <a:xfrm>
          <a:off x="76352400" y="2609850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103</xdr:col>
      <xdr:colOff>438150</xdr:colOff>
      <xdr:row>8</xdr:row>
      <xdr:rowOff>9525</xdr:rowOff>
    </xdr:from>
    <xdr:to>
      <xdr:col>104</xdr:col>
      <xdr:colOff>9525</xdr:colOff>
      <xdr:row>8</xdr:row>
      <xdr:rowOff>171450</xdr:rowOff>
    </xdr:to>
    <xdr:sp macro="" textlink="">
      <xdr:nvSpPr>
        <xdr:cNvPr id="316026" name="Rectangle 28"/>
        <xdr:cNvSpPr>
          <a:spLocks noChangeArrowheads="1"/>
        </xdr:cNvSpPr>
      </xdr:nvSpPr>
      <xdr:spPr bwMode="auto">
        <a:xfrm>
          <a:off x="76352400" y="2181225"/>
          <a:ext cx="190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103</xdr:col>
      <xdr:colOff>438150</xdr:colOff>
      <xdr:row>14</xdr:row>
      <xdr:rowOff>190500</xdr:rowOff>
    </xdr:from>
    <xdr:to>
      <xdr:col>104</xdr:col>
      <xdr:colOff>9525</xdr:colOff>
      <xdr:row>15</xdr:row>
      <xdr:rowOff>142875</xdr:rowOff>
    </xdr:to>
    <xdr:sp macro="" textlink="">
      <xdr:nvSpPr>
        <xdr:cNvPr id="316027" name="Rectangle 27"/>
        <xdr:cNvSpPr>
          <a:spLocks noChangeArrowheads="1"/>
        </xdr:cNvSpPr>
      </xdr:nvSpPr>
      <xdr:spPr bwMode="auto">
        <a:xfrm>
          <a:off x="76352400" y="3562350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103</xdr:col>
      <xdr:colOff>438150</xdr:colOff>
      <xdr:row>12</xdr:row>
      <xdr:rowOff>190500</xdr:rowOff>
    </xdr:from>
    <xdr:to>
      <xdr:col>104</xdr:col>
      <xdr:colOff>9525</xdr:colOff>
      <xdr:row>13</xdr:row>
      <xdr:rowOff>133350</xdr:rowOff>
    </xdr:to>
    <xdr:sp macro="" textlink="">
      <xdr:nvSpPr>
        <xdr:cNvPr id="316028" name="Rectangle 28"/>
        <xdr:cNvSpPr>
          <a:spLocks noChangeArrowheads="1"/>
        </xdr:cNvSpPr>
      </xdr:nvSpPr>
      <xdr:spPr bwMode="auto">
        <a:xfrm>
          <a:off x="76352400" y="3162300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103</xdr:col>
      <xdr:colOff>438150</xdr:colOff>
      <xdr:row>19</xdr:row>
      <xdr:rowOff>142875</xdr:rowOff>
    </xdr:from>
    <xdr:to>
      <xdr:col>104</xdr:col>
      <xdr:colOff>9525</xdr:colOff>
      <xdr:row>20</xdr:row>
      <xdr:rowOff>104775</xdr:rowOff>
    </xdr:to>
    <xdr:sp macro="" textlink="">
      <xdr:nvSpPr>
        <xdr:cNvPr id="316029" name="Rectangle 27"/>
        <xdr:cNvSpPr>
          <a:spLocks noChangeArrowheads="1"/>
        </xdr:cNvSpPr>
      </xdr:nvSpPr>
      <xdr:spPr bwMode="auto">
        <a:xfrm>
          <a:off x="76352400" y="4514850"/>
          <a:ext cx="190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103</xdr:col>
      <xdr:colOff>438150</xdr:colOff>
      <xdr:row>17</xdr:row>
      <xdr:rowOff>133350</xdr:rowOff>
    </xdr:from>
    <xdr:to>
      <xdr:col>104</xdr:col>
      <xdr:colOff>9525</xdr:colOff>
      <xdr:row>18</xdr:row>
      <xdr:rowOff>76200</xdr:rowOff>
    </xdr:to>
    <xdr:sp macro="" textlink="">
      <xdr:nvSpPr>
        <xdr:cNvPr id="316030" name="Rectangle 28"/>
        <xdr:cNvSpPr>
          <a:spLocks noChangeArrowheads="1"/>
        </xdr:cNvSpPr>
      </xdr:nvSpPr>
      <xdr:spPr bwMode="auto">
        <a:xfrm>
          <a:off x="76352400" y="4105275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103</xdr:col>
      <xdr:colOff>438150</xdr:colOff>
      <xdr:row>24</xdr:row>
      <xdr:rowOff>104775</xdr:rowOff>
    </xdr:from>
    <xdr:to>
      <xdr:col>104</xdr:col>
      <xdr:colOff>9525</xdr:colOff>
      <xdr:row>25</xdr:row>
      <xdr:rowOff>57150</xdr:rowOff>
    </xdr:to>
    <xdr:sp macro="" textlink="">
      <xdr:nvSpPr>
        <xdr:cNvPr id="316031" name="Rectangle 27"/>
        <xdr:cNvSpPr>
          <a:spLocks noChangeArrowheads="1"/>
        </xdr:cNvSpPr>
      </xdr:nvSpPr>
      <xdr:spPr bwMode="auto">
        <a:xfrm>
          <a:off x="76352400" y="5476875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103</xdr:col>
      <xdr:colOff>438150</xdr:colOff>
      <xdr:row>22</xdr:row>
      <xdr:rowOff>76200</xdr:rowOff>
    </xdr:from>
    <xdr:to>
      <xdr:col>104</xdr:col>
      <xdr:colOff>9525</xdr:colOff>
      <xdr:row>23</xdr:row>
      <xdr:rowOff>28575</xdr:rowOff>
    </xdr:to>
    <xdr:sp macro="" textlink="">
      <xdr:nvSpPr>
        <xdr:cNvPr id="316032" name="Rectangle 28"/>
        <xdr:cNvSpPr>
          <a:spLocks noChangeArrowheads="1"/>
        </xdr:cNvSpPr>
      </xdr:nvSpPr>
      <xdr:spPr bwMode="auto">
        <a:xfrm>
          <a:off x="76352400" y="5048250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103</xdr:col>
      <xdr:colOff>438150</xdr:colOff>
      <xdr:row>29</xdr:row>
      <xdr:rowOff>57150</xdr:rowOff>
    </xdr:from>
    <xdr:to>
      <xdr:col>104</xdr:col>
      <xdr:colOff>9525</xdr:colOff>
      <xdr:row>29</xdr:row>
      <xdr:rowOff>200025</xdr:rowOff>
    </xdr:to>
    <xdr:sp macro="" textlink="">
      <xdr:nvSpPr>
        <xdr:cNvPr id="316033" name="Rectangle 27"/>
        <xdr:cNvSpPr>
          <a:spLocks noChangeArrowheads="1"/>
        </xdr:cNvSpPr>
      </xdr:nvSpPr>
      <xdr:spPr bwMode="auto">
        <a:xfrm>
          <a:off x="76352400" y="6429375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103</xdr:col>
      <xdr:colOff>438150</xdr:colOff>
      <xdr:row>27</xdr:row>
      <xdr:rowOff>28575</xdr:rowOff>
    </xdr:from>
    <xdr:to>
      <xdr:col>104</xdr:col>
      <xdr:colOff>9525</xdr:colOff>
      <xdr:row>27</xdr:row>
      <xdr:rowOff>190500</xdr:rowOff>
    </xdr:to>
    <xdr:sp macro="" textlink="">
      <xdr:nvSpPr>
        <xdr:cNvPr id="316034" name="Rectangle 28"/>
        <xdr:cNvSpPr>
          <a:spLocks noChangeArrowheads="1"/>
        </xdr:cNvSpPr>
      </xdr:nvSpPr>
      <xdr:spPr bwMode="auto">
        <a:xfrm>
          <a:off x="76352400" y="6000750"/>
          <a:ext cx="190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103</xdr:col>
      <xdr:colOff>438150</xdr:colOff>
      <xdr:row>34</xdr:row>
      <xdr:rowOff>0</xdr:rowOff>
    </xdr:from>
    <xdr:to>
      <xdr:col>104</xdr:col>
      <xdr:colOff>9525</xdr:colOff>
      <xdr:row>34</xdr:row>
      <xdr:rowOff>142875</xdr:rowOff>
    </xdr:to>
    <xdr:sp macro="" textlink="">
      <xdr:nvSpPr>
        <xdr:cNvPr id="316035" name="Rectangle 27"/>
        <xdr:cNvSpPr>
          <a:spLocks noChangeArrowheads="1"/>
        </xdr:cNvSpPr>
      </xdr:nvSpPr>
      <xdr:spPr bwMode="auto">
        <a:xfrm>
          <a:off x="76352400" y="7372350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103</xdr:col>
      <xdr:colOff>438150</xdr:colOff>
      <xdr:row>31</xdr:row>
      <xdr:rowOff>190500</xdr:rowOff>
    </xdr:from>
    <xdr:to>
      <xdr:col>104</xdr:col>
      <xdr:colOff>9525</xdr:colOff>
      <xdr:row>32</xdr:row>
      <xdr:rowOff>142875</xdr:rowOff>
    </xdr:to>
    <xdr:sp macro="" textlink="">
      <xdr:nvSpPr>
        <xdr:cNvPr id="316036" name="Rectangle 28"/>
        <xdr:cNvSpPr>
          <a:spLocks noChangeArrowheads="1"/>
        </xdr:cNvSpPr>
      </xdr:nvSpPr>
      <xdr:spPr bwMode="auto">
        <a:xfrm>
          <a:off x="76352400" y="6962775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103</xdr:col>
      <xdr:colOff>438150</xdr:colOff>
      <xdr:row>38</xdr:row>
      <xdr:rowOff>161925</xdr:rowOff>
    </xdr:from>
    <xdr:to>
      <xdr:col>104</xdr:col>
      <xdr:colOff>9525</xdr:colOff>
      <xdr:row>39</xdr:row>
      <xdr:rowOff>123825</xdr:rowOff>
    </xdr:to>
    <xdr:sp macro="" textlink="">
      <xdr:nvSpPr>
        <xdr:cNvPr id="316037" name="Rectangle 27"/>
        <xdr:cNvSpPr>
          <a:spLocks noChangeArrowheads="1"/>
        </xdr:cNvSpPr>
      </xdr:nvSpPr>
      <xdr:spPr bwMode="auto">
        <a:xfrm>
          <a:off x="76352400" y="8334375"/>
          <a:ext cx="190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103</xdr:col>
      <xdr:colOff>438150</xdr:colOff>
      <xdr:row>36</xdr:row>
      <xdr:rowOff>142875</xdr:rowOff>
    </xdr:from>
    <xdr:to>
      <xdr:col>104</xdr:col>
      <xdr:colOff>9525</xdr:colOff>
      <xdr:row>37</xdr:row>
      <xdr:rowOff>95250</xdr:rowOff>
    </xdr:to>
    <xdr:sp macro="" textlink="">
      <xdr:nvSpPr>
        <xdr:cNvPr id="316038" name="Rectangle 28"/>
        <xdr:cNvSpPr>
          <a:spLocks noChangeArrowheads="1"/>
        </xdr:cNvSpPr>
      </xdr:nvSpPr>
      <xdr:spPr bwMode="auto">
        <a:xfrm>
          <a:off x="76352400" y="7915275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103</xdr:col>
      <xdr:colOff>438150</xdr:colOff>
      <xdr:row>43</xdr:row>
      <xdr:rowOff>123825</xdr:rowOff>
    </xdr:from>
    <xdr:to>
      <xdr:col>104</xdr:col>
      <xdr:colOff>9525</xdr:colOff>
      <xdr:row>44</xdr:row>
      <xdr:rowOff>66675</xdr:rowOff>
    </xdr:to>
    <xdr:sp macro="" textlink="">
      <xdr:nvSpPr>
        <xdr:cNvPr id="316039" name="Rectangle 27"/>
        <xdr:cNvSpPr>
          <a:spLocks noChangeArrowheads="1"/>
        </xdr:cNvSpPr>
      </xdr:nvSpPr>
      <xdr:spPr bwMode="auto">
        <a:xfrm>
          <a:off x="76352400" y="9296400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103</xdr:col>
      <xdr:colOff>438150</xdr:colOff>
      <xdr:row>41</xdr:row>
      <xdr:rowOff>76200</xdr:rowOff>
    </xdr:from>
    <xdr:to>
      <xdr:col>104</xdr:col>
      <xdr:colOff>9525</xdr:colOff>
      <xdr:row>42</xdr:row>
      <xdr:rowOff>38100</xdr:rowOff>
    </xdr:to>
    <xdr:sp macro="" textlink="">
      <xdr:nvSpPr>
        <xdr:cNvPr id="316040" name="Rectangle 28"/>
        <xdr:cNvSpPr>
          <a:spLocks noChangeArrowheads="1"/>
        </xdr:cNvSpPr>
      </xdr:nvSpPr>
      <xdr:spPr bwMode="auto">
        <a:xfrm>
          <a:off x="76352400" y="8848725"/>
          <a:ext cx="190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103</xdr:col>
      <xdr:colOff>438150</xdr:colOff>
      <xdr:row>48</xdr:row>
      <xdr:rowOff>57150</xdr:rowOff>
    </xdr:from>
    <xdr:to>
      <xdr:col>104</xdr:col>
      <xdr:colOff>9525</xdr:colOff>
      <xdr:row>49</xdr:row>
      <xdr:rowOff>9525</xdr:rowOff>
    </xdr:to>
    <xdr:sp macro="" textlink="">
      <xdr:nvSpPr>
        <xdr:cNvPr id="316041" name="Rectangle 27"/>
        <xdr:cNvSpPr>
          <a:spLocks noChangeArrowheads="1"/>
        </xdr:cNvSpPr>
      </xdr:nvSpPr>
      <xdr:spPr bwMode="auto">
        <a:xfrm>
          <a:off x="76352400" y="10229850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103</xdr:col>
      <xdr:colOff>438150</xdr:colOff>
      <xdr:row>46</xdr:row>
      <xdr:rowOff>38100</xdr:rowOff>
    </xdr:from>
    <xdr:to>
      <xdr:col>104</xdr:col>
      <xdr:colOff>9525</xdr:colOff>
      <xdr:row>46</xdr:row>
      <xdr:rowOff>190500</xdr:rowOff>
    </xdr:to>
    <xdr:sp macro="" textlink="">
      <xdr:nvSpPr>
        <xdr:cNvPr id="316042" name="Rectangle 28"/>
        <xdr:cNvSpPr>
          <a:spLocks noChangeArrowheads="1"/>
        </xdr:cNvSpPr>
      </xdr:nvSpPr>
      <xdr:spPr bwMode="auto">
        <a:xfrm>
          <a:off x="76352400" y="9810750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103</xdr:col>
      <xdr:colOff>438150</xdr:colOff>
      <xdr:row>4</xdr:row>
      <xdr:rowOff>57150</xdr:rowOff>
    </xdr:from>
    <xdr:to>
      <xdr:col>104</xdr:col>
      <xdr:colOff>9525</xdr:colOff>
      <xdr:row>5</xdr:row>
      <xdr:rowOff>9525</xdr:rowOff>
    </xdr:to>
    <xdr:sp macro="" textlink="">
      <xdr:nvSpPr>
        <xdr:cNvPr id="316043" name="Rectangle 28"/>
        <xdr:cNvSpPr>
          <a:spLocks noChangeArrowheads="1"/>
        </xdr:cNvSpPr>
      </xdr:nvSpPr>
      <xdr:spPr bwMode="auto">
        <a:xfrm>
          <a:off x="76352400" y="1428750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103</xdr:col>
      <xdr:colOff>438150</xdr:colOff>
      <xdr:row>4</xdr:row>
      <xdr:rowOff>57150</xdr:rowOff>
    </xdr:from>
    <xdr:to>
      <xdr:col>104</xdr:col>
      <xdr:colOff>9525</xdr:colOff>
      <xdr:row>5</xdr:row>
      <xdr:rowOff>9525</xdr:rowOff>
    </xdr:to>
    <xdr:sp macro="" textlink="">
      <xdr:nvSpPr>
        <xdr:cNvPr id="316044" name="Rectangle 28"/>
        <xdr:cNvSpPr>
          <a:spLocks noChangeArrowheads="1"/>
        </xdr:cNvSpPr>
      </xdr:nvSpPr>
      <xdr:spPr bwMode="auto">
        <a:xfrm>
          <a:off x="76352400" y="1428750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103</xdr:col>
      <xdr:colOff>438150</xdr:colOff>
      <xdr:row>4</xdr:row>
      <xdr:rowOff>57150</xdr:rowOff>
    </xdr:from>
    <xdr:to>
      <xdr:col>104</xdr:col>
      <xdr:colOff>9525</xdr:colOff>
      <xdr:row>5</xdr:row>
      <xdr:rowOff>9525</xdr:rowOff>
    </xdr:to>
    <xdr:sp macro="" textlink="">
      <xdr:nvSpPr>
        <xdr:cNvPr id="316045" name="Rectangle 28"/>
        <xdr:cNvSpPr>
          <a:spLocks noChangeArrowheads="1"/>
        </xdr:cNvSpPr>
      </xdr:nvSpPr>
      <xdr:spPr bwMode="auto">
        <a:xfrm>
          <a:off x="76352400" y="1428750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103</xdr:col>
      <xdr:colOff>438150</xdr:colOff>
      <xdr:row>4</xdr:row>
      <xdr:rowOff>57150</xdr:rowOff>
    </xdr:from>
    <xdr:to>
      <xdr:col>104</xdr:col>
      <xdr:colOff>9525</xdr:colOff>
      <xdr:row>5</xdr:row>
      <xdr:rowOff>9525</xdr:rowOff>
    </xdr:to>
    <xdr:sp macro="" textlink="">
      <xdr:nvSpPr>
        <xdr:cNvPr id="316046" name="Rectangle 28"/>
        <xdr:cNvSpPr>
          <a:spLocks noChangeArrowheads="1"/>
        </xdr:cNvSpPr>
      </xdr:nvSpPr>
      <xdr:spPr bwMode="auto">
        <a:xfrm>
          <a:off x="76352400" y="1428750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103</xdr:col>
      <xdr:colOff>438150</xdr:colOff>
      <xdr:row>4</xdr:row>
      <xdr:rowOff>57150</xdr:rowOff>
    </xdr:from>
    <xdr:to>
      <xdr:col>104</xdr:col>
      <xdr:colOff>9525</xdr:colOff>
      <xdr:row>5</xdr:row>
      <xdr:rowOff>9525</xdr:rowOff>
    </xdr:to>
    <xdr:sp macro="" textlink="">
      <xdr:nvSpPr>
        <xdr:cNvPr id="316047" name="Rectangle 28"/>
        <xdr:cNvSpPr>
          <a:spLocks noChangeArrowheads="1"/>
        </xdr:cNvSpPr>
      </xdr:nvSpPr>
      <xdr:spPr bwMode="auto">
        <a:xfrm>
          <a:off x="76352400" y="1428750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103</xdr:col>
      <xdr:colOff>438150</xdr:colOff>
      <xdr:row>4</xdr:row>
      <xdr:rowOff>57150</xdr:rowOff>
    </xdr:from>
    <xdr:to>
      <xdr:col>104</xdr:col>
      <xdr:colOff>9525</xdr:colOff>
      <xdr:row>5</xdr:row>
      <xdr:rowOff>9525</xdr:rowOff>
    </xdr:to>
    <xdr:sp macro="" textlink="">
      <xdr:nvSpPr>
        <xdr:cNvPr id="316048" name="Rectangle 28"/>
        <xdr:cNvSpPr>
          <a:spLocks noChangeArrowheads="1"/>
        </xdr:cNvSpPr>
      </xdr:nvSpPr>
      <xdr:spPr bwMode="auto">
        <a:xfrm>
          <a:off x="76352400" y="1428750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103</xdr:col>
      <xdr:colOff>438150</xdr:colOff>
      <xdr:row>5</xdr:row>
      <xdr:rowOff>57150</xdr:rowOff>
    </xdr:from>
    <xdr:to>
      <xdr:col>104</xdr:col>
      <xdr:colOff>9525</xdr:colOff>
      <xdr:row>6</xdr:row>
      <xdr:rowOff>9525</xdr:rowOff>
    </xdr:to>
    <xdr:sp macro="" textlink="">
      <xdr:nvSpPr>
        <xdr:cNvPr id="316049" name="Rectangle 28"/>
        <xdr:cNvSpPr>
          <a:spLocks noChangeArrowheads="1"/>
        </xdr:cNvSpPr>
      </xdr:nvSpPr>
      <xdr:spPr bwMode="auto">
        <a:xfrm>
          <a:off x="76352400" y="1628775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103</xdr:col>
      <xdr:colOff>438150</xdr:colOff>
      <xdr:row>5</xdr:row>
      <xdr:rowOff>57150</xdr:rowOff>
    </xdr:from>
    <xdr:to>
      <xdr:col>104</xdr:col>
      <xdr:colOff>9525</xdr:colOff>
      <xdr:row>6</xdr:row>
      <xdr:rowOff>9525</xdr:rowOff>
    </xdr:to>
    <xdr:sp macro="" textlink="">
      <xdr:nvSpPr>
        <xdr:cNvPr id="316050" name="Rectangle 28"/>
        <xdr:cNvSpPr>
          <a:spLocks noChangeArrowheads="1"/>
        </xdr:cNvSpPr>
      </xdr:nvSpPr>
      <xdr:spPr bwMode="auto">
        <a:xfrm>
          <a:off x="76352400" y="1628775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103</xdr:col>
      <xdr:colOff>438150</xdr:colOff>
      <xdr:row>5</xdr:row>
      <xdr:rowOff>57150</xdr:rowOff>
    </xdr:from>
    <xdr:to>
      <xdr:col>104</xdr:col>
      <xdr:colOff>9525</xdr:colOff>
      <xdr:row>6</xdr:row>
      <xdr:rowOff>9525</xdr:rowOff>
    </xdr:to>
    <xdr:sp macro="" textlink="">
      <xdr:nvSpPr>
        <xdr:cNvPr id="316051" name="Rectangle 28"/>
        <xdr:cNvSpPr>
          <a:spLocks noChangeArrowheads="1"/>
        </xdr:cNvSpPr>
      </xdr:nvSpPr>
      <xdr:spPr bwMode="auto">
        <a:xfrm>
          <a:off x="76352400" y="1628775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103</xdr:col>
      <xdr:colOff>438150</xdr:colOff>
      <xdr:row>5</xdr:row>
      <xdr:rowOff>57150</xdr:rowOff>
    </xdr:from>
    <xdr:to>
      <xdr:col>104</xdr:col>
      <xdr:colOff>9525</xdr:colOff>
      <xdr:row>6</xdr:row>
      <xdr:rowOff>9525</xdr:rowOff>
    </xdr:to>
    <xdr:sp macro="" textlink="">
      <xdr:nvSpPr>
        <xdr:cNvPr id="316052" name="Rectangle 28"/>
        <xdr:cNvSpPr>
          <a:spLocks noChangeArrowheads="1"/>
        </xdr:cNvSpPr>
      </xdr:nvSpPr>
      <xdr:spPr bwMode="auto">
        <a:xfrm>
          <a:off x="76352400" y="1628775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103</xdr:col>
      <xdr:colOff>438150</xdr:colOff>
      <xdr:row>5</xdr:row>
      <xdr:rowOff>57150</xdr:rowOff>
    </xdr:from>
    <xdr:to>
      <xdr:col>104</xdr:col>
      <xdr:colOff>9525</xdr:colOff>
      <xdr:row>6</xdr:row>
      <xdr:rowOff>9525</xdr:rowOff>
    </xdr:to>
    <xdr:sp macro="" textlink="">
      <xdr:nvSpPr>
        <xdr:cNvPr id="316053" name="Rectangle 28"/>
        <xdr:cNvSpPr>
          <a:spLocks noChangeArrowheads="1"/>
        </xdr:cNvSpPr>
      </xdr:nvSpPr>
      <xdr:spPr bwMode="auto">
        <a:xfrm>
          <a:off x="76352400" y="1628775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103</xdr:col>
      <xdr:colOff>438150</xdr:colOff>
      <xdr:row>5</xdr:row>
      <xdr:rowOff>57150</xdr:rowOff>
    </xdr:from>
    <xdr:to>
      <xdr:col>104</xdr:col>
      <xdr:colOff>9525</xdr:colOff>
      <xdr:row>6</xdr:row>
      <xdr:rowOff>9525</xdr:rowOff>
    </xdr:to>
    <xdr:sp macro="" textlink="">
      <xdr:nvSpPr>
        <xdr:cNvPr id="316054" name="Rectangle 28"/>
        <xdr:cNvSpPr>
          <a:spLocks noChangeArrowheads="1"/>
        </xdr:cNvSpPr>
      </xdr:nvSpPr>
      <xdr:spPr bwMode="auto">
        <a:xfrm>
          <a:off x="76352400" y="1628775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103</xdr:col>
      <xdr:colOff>438150</xdr:colOff>
      <xdr:row>6</xdr:row>
      <xdr:rowOff>57150</xdr:rowOff>
    </xdr:from>
    <xdr:to>
      <xdr:col>104</xdr:col>
      <xdr:colOff>9525</xdr:colOff>
      <xdr:row>6</xdr:row>
      <xdr:rowOff>200025</xdr:rowOff>
    </xdr:to>
    <xdr:sp macro="" textlink="">
      <xdr:nvSpPr>
        <xdr:cNvPr id="316055" name="Rectangle 28"/>
        <xdr:cNvSpPr>
          <a:spLocks noChangeArrowheads="1"/>
        </xdr:cNvSpPr>
      </xdr:nvSpPr>
      <xdr:spPr bwMode="auto">
        <a:xfrm>
          <a:off x="76352400" y="1828800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103</xdr:col>
      <xdr:colOff>438150</xdr:colOff>
      <xdr:row>6</xdr:row>
      <xdr:rowOff>57150</xdr:rowOff>
    </xdr:from>
    <xdr:to>
      <xdr:col>104</xdr:col>
      <xdr:colOff>9525</xdr:colOff>
      <xdr:row>6</xdr:row>
      <xdr:rowOff>200025</xdr:rowOff>
    </xdr:to>
    <xdr:sp macro="" textlink="">
      <xdr:nvSpPr>
        <xdr:cNvPr id="316056" name="Rectangle 28"/>
        <xdr:cNvSpPr>
          <a:spLocks noChangeArrowheads="1"/>
        </xdr:cNvSpPr>
      </xdr:nvSpPr>
      <xdr:spPr bwMode="auto">
        <a:xfrm>
          <a:off x="76352400" y="1828800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103</xdr:col>
      <xdr:colOff>438150</xdr:colOff>
      <xdr:row>6</xdr:row>
      <xdr:rowOff>57150</xdr:rowOff>
    </xdr:from>
    <xdr:to>
      <xdr:col>104</xdr:col>
      <xdr:colOff>9525</xdr:colOff>
      <xdr:row>6</xdr:row>
      <xdr:rowOff>200025</xdr:rowOff>
    </xdr:to>
    <xdr:sp macro="" textlink="">
      <xdr:nvSpPr>
        <xdr:cNvPr id="316057" name="Rectangle 28"/>
        <xdr:cNvSpPr>
          <a:spLocks noChangeArrowheads="1"/>
        </xdr:cNvSpPr>
      </xdr:nvSpPr>
      <xdr:spPr bwMode="auto">
        <a:xfrm>
          <a:off x="76352400" y="1828800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103</xdr:col>
      <xdr:colOff>438150</xdr:colOff>
      <xdr:row>6</xdr:row>
      <xdr:rowOff>57150</xdr:rowOff>
    </xdr:from>
    <xdr:to>
      <xdr:col>104</xdr:col>
      <xdr:colOff>9525</xdr:colOff>
      <xdr:row>6</xdr:row>
      <xdr:rowOff>200025</xdr:rowOff>
    </xdr:to>
    <xdr:sp macro="" textlink="">
      <xdr:nvSpPr>
        <xdr:cNvPr id="316058" name="Rectangle 28"/>
        <xdr:cNvSpPr>
          <a:spLocks noChangeArrowheads="1"/>
        </xdr:cNvSpPr>
      </xdr:nvSpPr>
      <xdr:spPr bwMode="auto">
        <a:xfrm>
          <a:off x="76352400" y="1828800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103</xdr:col>
      <xdr:colOff>438150</xdr:colOff>
      <xdr:row>6</xdr:row>
      <xdr:rowOff>57150</xdr:rowOff>
    </xdr:from>
    <xdr:to>
      <xdr:col>104</xdr:col>
      <xdr:colOff>9525</xdr:colOff>
      <xdr:row>6</xdr:row>
      <xdr:rowOff>200025</xdr:rowOff>
    </xdr:to>
    <xdr:sp macro="" textlink="">
      <xdr:nvSpPr>
        <xdr:cNvPr id="316059" name="Rectangle 28"/>
        <xdr:cNvSpPr>
          <a:spLocks noChangeArrowheads="1"/>
        </xdr:cNvSpPr>
      </xdr:nvSpPr>
      <xdr:spPr bwMode="auto">
        <a:xfrm>
          <a:off x="76352400" y="1828800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103</xdr:col>
      <xdr:colOff>438150</xdr:colOff>
      <xdr:row>6</xdr:row>
      <xdr:rowOff>57150</xdr:rowOff>
    </xdr:from>
    <xdr:to>
      <xdr:col>104</xdr:col>
      <xdr:colOff>9525</xdr:colOff>
      <xdr:row>6</xdr:row>
      <xdr:rowOff>200025</xdr:rowOff>
    </xdr:to>
    <xdr:sp macro="" textlink="">
      <xdr:nvSpPr>
        <xdr:cNvPr id="316060" name="Rectangle 28"/>
        <xdr:cNvSpPr>
          <a:spLocks noChangeArrowheads="1"/>
        </xdr:cNvSpPr>
      </xdr:nvSpPr>
      <xdr:spPr bwMode="auto">
        <a:xfrm>
          <a:off x="76352400" y="1828800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103</xdr:col>
      <xdr:colOff>438150</xdr:colOff>
      <xdr:row>7</xdr:row>
      <xdr:rowOff>28575</xdr:rowOff>
    </xdr:from>
    <xdr:to>
      <xdr:col>104</xdr:col>
      <xdr:colOff>9525</xdr:colOff>
      <xdr:row>7</xdr:row>
      <xdr:rowOff>190500</xdr:rowOff>
    </xdr:to>
    <xdr:sp macro="" textlink="">
      <xdr:nvSpPr>
        <xdr:cNvPr id="316061" name="Rectangle 28"/>
        <xdr:cNvSpPr>
          <a:spLocks noChangeArrowheads="1"/>
        </xdr:cNvSpPr>
      </xdr:nvSpPr>
      <xdr:spPr bwMode="auto">
        <a:xfrm>
          <a:off x="76352400" y="2000250"/>
          <a:ext cx="190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103</xdr:col>
      <xdr:colOff>438150</xdr:colOff>
      <xdr:row>7</xdr:row>
      <xdr:rowOff>28575</xdr:rowOff>
    </xdr:from>
    <xdr:to>
      <xdr:col>104</xdr:col>
      <xdr:colOff>9525</xdr:colOff>
      <xdr:row>7</xdr:row>
      <xdr:rowOff>190500</xdr:rowOff>
    </xdr:to>
    <xdr:sp macro="" textlink="">
      <xdr:nvSpPr>
        <xdr:cNvPr id="316062" name="Rectangle 28"/>
        <xdr:cNvSpPr>
          <a:spLocks noChangeArrowheads="1"/>
        </xdr:cNvSpPr>
      </xdr:nvSpPr>
      <xdr:spPr bwMode="auto">
        <a:xfrm>
          <a:off x="76352400" y="2000250"/>
          <a:ext cx="190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103</xdr:col>
      <xdr:colOff>438150</xdr:colOff>
      <xdr:row>7</xdr:row>
      <xdr:rowOff>28575</xdr:rowOff>
    </xdr:from>
    <xdr:to>
      <xdr:col>104</xdr:col>
      <xdr:colOff>9525</xdr:colOff>
      <xdr:row>7</xdr:row>
      <xdr:rowOff>190500</xdr:rowOff>
    </xdr:to>
    <xdr:sp macro="" textlink="">
      <xdr:nvSpPr>
        <xdr:cNvPr id="316063" name="Rectangle 28"/>
        <xdr:cNvSpPr>
          <a:spLocks noChangeArrowheads="1"/>
        </xdr:cNvSpPr>
      </xdr:nvSpPr>
      <xdr:spPr bwMode="auto">
        <a:xfrm>
          <a:off x="76352400" y="2000250"/>
          <a:ext cx="190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103</xdr:col>
      <xdr:colOff>438150</xdr:colOff>
      <xdr:row>7</xdr:row>
      <xdr:rowOff>28575</xdr:rowOff>
    </xdr:from>
    <xdr:to>
      <xdr:col>104</xdr:col>
      <xdr:colOff>9525</xdr:colOff>
      <xdr:row>7</xdr:row>
      <xdr:rowOff>190500</xdr:rowOff>
    </xdr:to>
    <xdr:sp macro="" textlink="">
      <xdr:nvSpPr>
        <xdr:cNvPr id="316064" name="Rectangle 28"/>
        <xdr:cNvSpPr>
          <a:spLocks noChangeArrowheads="1"/>
        </xdr:cNvSpPr>
      </xdr:nvSpPr>
      <xdr:spPr bwMode="auto">
        <a:xfrm>
          <a:off x="76352400" y="2000250"/>
          <a:ext cx="190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103</xdr:col>
      <xdr:colOff>438150</xdr:colOff>
      <xdr:row>7</xdr:row>
      <xdr:rowOff>28575</xdr:rowOff>
    </xdr:from>
    <xdr:to>
      <xdr:col>104</xdr:col>
      <xdr:colOff>9525</xdr:colOff>
      <xdr:row>7</xdr:row>
      <xdr:rowOff>190500</xdr:rowOff>
    </xdr:to>
    <xdr:sp macro="" textlink="">
      <xdr:nvSpPr>
        <xdr:cNvPr id="316065" name="Rectangle 28"/>
        <xdr:cNvSpPr>
          <a:spLocks noChangeArrowheads="1"/>
        </xdr:cNvSpPr>
      </xdr:nvSpPr>
      <xdr:spPr bwMode="auto">
        <a:xfrm>
          <a:off x="76352400" y="2000250"/>
          <a:ext cx="190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103</xdr:col>
      <xdr:colOff>438150</xdr:colOff>
      <xdr:row>7</xdr:row>
      <xdr:rowOff>28575</xdr:rowOff>
    </xdr:from>
    <xdr:to>
      <xdr:col>104</xdr:col>
      <xdr:colOff>9525</xdr:colOff>
      <xdr:row>7</xdr:row>
      <xdr:rowOff>190500</xdr:rowOff>
    </xdr:to>
    <xdr:sp macro="" textlink="">
      <xdr:nvSpPr>
        <xdr:cNvPr id="316066" name="Rectangle 28"/>
        <xdr:cNvSpPr>
          <a:spLocks noChangeArrowheads="1"/>
        </xdr:cNvSpPr>
      </xdr:nvSpPr>
      <xdr:spPr bwMode="auto">
        <a:xfrm>
          <a:off x="76352400" y="2000250"/>
          <a:ext cx="190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103</xdr:col>
      <xdr:colOff>438150</xdr:colOff>
      <xdr:row>8</xdr:row>
      <xdr:rowOff>9525</xdr:rowOff>
    </xdr:from>
    <xdr:to>
      <xdr:col>104</xdr:col>
      <xdr:colOff>9525</xdr:colOff>
      <xdr:row>8</xdr:row>
      <xdr:rowOff>171450</xdr:rowOff>
    </xdr:to>
    <xdr:sp macro="" textlink="">
      <xdr:nvSpPr>
        <xdr:cNvPr id="316067" name="Rectangle 28"/>
        <xdr:cNvSpPr>
          <a:spLocks noChangeArrowheads="1"/>
        </xdr:cNvSpPr>
      </xdr:nvSpPr>
      <xdr:spPr bwMode="auto">
        <a:xfrm>
          <a:off x="76352400" y="2181225"/>
          <a:ext cx="190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103</xdr:col>
      <xdr:colOff>438150</xdr:colOff>
      <xdr:row>8</xdr:row>
      <xdr:rowOff>9525</xdr:rowOff>
    </xdr:from>
    <xdr:to>
      <xdr:col>104</xdr:col>
      <xdr:colOff>9525</xdr:colOff>
      <xdr:row>8</xdr:row>
      <xdr:rowOff>171450</xdr:rowOff>
    </xdr:to>
    <xdr:sp macro="" textlink="">
      <xdr:nvSpPr>
        <xdr:cNvPr id="316068" name="Rectangle 28"/>
        <xdr:cNvSpPr>
          <a:spLocks noChangeArrowheads="1"/>
        </xdr:cNvSpPr>
      </xdr:nvSpPr>
      <xdr:spPr bwMode="auto">
        <a:xfrm>
          <a:off x="76352400" y="2181225"/>
          <a:ext cx="190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103</xdr:col>
      <xdr:colOff>438150</xdr:colOff>
      <xdr:row>8</xdr:row>
      <xdr:rowOff>9525</xdr:rowOff>
    </xdr:from>
    <xdr:to>
      <xdr:col>104</xdr:col>
      <xdr:colOff>9525</xdr:colOff>
      <xdr:row>8</xdr:row>
      <xdr:rowOff>171450</xdr:rowOff>
    </xdr:to>
    <xdr:sp macro="" textlink="">
      <xdr:nvSpPr>
        <xdr:cNvPr id="316069" name="Rectangle 28"/>
        <xdr:cNvSpPr>
          <a:spLocks noChangeArrowheads="1"/>
        </xdr:cNvSpPr>
      </xdr:nvSpPr>
      <xdr:spPr bwMode="auto">
        <a:xfrm>
          <a:off x="76352400" y="2181225"/>
          <a:ext cx="190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103</xdr:col>
      <xdr:colOff>438150</xdr:colOff>
      <xdr:row>8</xdr:row>
      <xdr:rowOff>9525</xdr:rowOff>
    </xdr:from>
    <xdr:to>
      <xdr:col>104</xdr:col>
      <xdr:colOff>9525</xdr:colOff>
      <xdr:row>8</xdr:row>
      <xdr:rowOff>171450</xdr:rowOff>
    </xdr:to>
    <xdr:sp macro="" textlink="">
      <xdr:nvSpPr>
        <xdr:cNvPr id="316070" name="Rectangle 28"/>
        <xdr:cNvSpPr>
          <a:spLocks noChangeArrowheads="1"/>
        </xdr:cNvSpPr>
      </xdr:nvSpPr>
      <xdr:spPr bwMode="auto">
        <a:xfrm>
          <a:off x="76352400" y="2181225"/>
          <a:ext cx="190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103</xdr:col>
      <xdr:colOff>438150</xdr:colOff>
      <xdr:row>8</xdr:row>
      <xdr:rowOff>9525</xdr:rowOff>
    </xdr:from>
    <xdr:to>
      <xdr:col>104</xdr:col>
      <xdr:colOff>9525</xdr:colOff>
      <xdr:row>8</xdr:row>
      <xdr:rowOff>171450</xdr:rowOff>
    </xdr:to>
    <xdr:sp macro="" textlink="">
      <xdr:nvSpPr>
        <xdr:cNvPr id="316071" name="Rectangle 28"/>
        <xdr:cNvSpPr>
          <a:spLocks noChangeArrowheads="1"/>
        </xdr:cNvSpPr>
      </xdr:nvSpPr>
      <xdr:spPr bwMode="auto">
        <a:xfrm>
          <a:off x="76352400" y="2181225"/>
          <a:ext cx="190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103</xdr:col>
      <xdr:colOff>438150</xdr:colOff>
      <xdr:row>8</xdr:row>
      <xdr:rowOff>9525</xdr:rowOff>
    </xdr:from>
    <xdr:to>
      <xdr:col>104</xdr:col>
      <xdr:colOff>9525</xdr:colOff>
      <xdr:row>8</xdr:row>
      <xdr:rowOff>171450</xdr:rowOff>
    </xdr:to>
    <xdr:sp macro="" textlink="">
      <xdr:nvSpPr>
        <xdr:cNvPr id="316072" name="Rectangle 28"/>
        <xdr:cNvSpPr>
          <a:spLocks noChangeArrowheads="1"/>
        </xdr:cNvSpPr>
      </xdr:nvSpPr>
      <xdr:spPr bwMode="auto">
        <a:xfrm>
          <a:off x="76352400" y="2181225"/>
          <a:ext cx="190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103</xdr:col>
      <xdr:colOff>438150</xdr:colOff>
      <xdr:row>9</xdr:row>
      <xdr:rowOff>9525</xdr:rowOff>
    </xdr:from>
    <xdr:to>
      <xdr:col>104</xdr:col>
      <xdr:colOff>9525</xdr:colOff>
      <xdr:row>9</xdr:row>
      <xdr:rowOff>171450</xdr:rowOff>
    </xdr:to>
    <xdr:sp macro="" textlink="">
      <xdr:nvSpPr>
        <xdr:cNvPr id="316073" name="Rectangle 28"/>
        <xdr:cNvSpPr>
          <a:spLocks noChangeArrowheads="1"/>
        </xdr:cNvSpPr>
      </xdr:nvSpPr>
      <xdr:spPr bwMode="auto">
        <a:xfrm>
          <a:off x="76352400" y="2381250"/>
          <a:ext cx="190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103</xdr:col>
      <xdr:colOff>438150</xdr:colOff>
      <xdr:row>9</xdr:row>
      <xdr:rowOff>9525</xdr:rowOff>
    </xdr:from>
    <xdr:to>
      <xdr:col>104</xdr:col>
      <xdr:colOff>9525</xdr:colOff>
      <xdr:row>9</xdr:row>
      <xdr:rowOff>171450</xdr:rowOff>
    </xdr:to>
    <xdr:sp macro="" textlink="">
      <xdr:nvSpPr>
        <xdr:cNvPr id="316074" name="Rectangle 28"/>
        <xdr:cNvSpPr>
          <a:spLocks noChangeArrowheads="1"/>
        </xdr:cNvSpPr>
      </xdr:nvSpPr>
      <xdr:spPr bwMode="auto">
        <a:xfrm>
          <a:off x="76352400" y="2381250"/>
          <a:ext cx="190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103</xdr:col>
      <xdr:colOff>438150</xdr:colOff>
      <xdr:row>9</xdr:row>
      <xdr:rowOff>9525</xdr:rowOff>
    </xdr:from>
    <xdr:to>
      <xdr:col>104</xdr:col>
      <xdr:colOff>9525</xdr:colOff>
      <xdr:row>9</xdr:row>
      <xdr:rowOff>171450</xdr:rowOff>
    </xdr:to>
    <xdr:sp macro="" textlink="">
      <xdr:nvSpPr>
        <xdr:cNvPr id="316075" name="Rectangle 28"/>
        <xdr:cNvSpPr>
          <a:spLocks noChangeArrowheads="1"/>
        </xdr:cNvSpPr>
      </xdr:nvSpPr>
      <xdr:spPr bwMode="auto">
        <a:xfrm>
          <a:off x="76352400" y="2381250"/>
          <a:ext cx="190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103</xdr:col>
      <xdr:colOff>438150</xdr:colOff>
      <xdr:row>9</xdr:row>
      <xdr:rowOff>9525</xdr:rowOff>
    </xdr:from>
    <xdr:to>
      <xdr:col>104</xdr:col>
      <xdr:colOff>9525</xdr:colOff>
      <xdr:row>9</xdr:row>
      <xdr:rowOff>171450</xdr:rowOff>
    </xdr:to>
    <xdr:sp macro="" textlink="">
      <xdr:nvSpPr>
        <xdr:cNvPr id="316076" name="Rectangle 28"/>
        <xdr:cNvSpPr>
          <a:spLocks noChangeArrowheads="1"/>
        </xdr:cNvSpPr>
      </xdr:nvSpPr>
      <xdr:spPr bwMode="auto">
        <a:xfrm>
          <a:off x="76352400" y="2381250"/>
          <a:ext cx="190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103</xdr:col>
      <xdr:colOff>438150</xdr:colOff>
      <xdr:row>9</xdr:row>
      <xdr:rowOff>9525</xdr:rowOff>
    </xdr:from>
    <xdr:to>
      <xdr:col>104</xdr:col>
      <xdr:colOff>9525</xdr:colOff>
      <xdr:row>9</xdr:row>
      <xdr:rowOff>171450</xdr:rowOff>
    </xdr:to>
    <xdr:sp macro="" textlink="">
      <xdr:nvSpPr>
        <xdr:cNvPr id="316077" name="Rectangle 28"/>
        <xdr:cNvSpPr>
          <a:spLocks noChangeArrowheads="1"/>
        </xdr:cNvSpPr>
      </xdr:nvSpPr>
      <xdr:spPr bwMode="auto">
        <a:xfrm>
          <a:off x="76352400" y="2381250"/>
          <a:ext cx="190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103</xdr:col>
      <xdr:colOff>438150</xdr:colOff>
      <xdr:row>9</xdr:row>
      <xdr:rowOff>9525</xdr:rowOff>
    </xdr:from>
    <xdr:to>
      <xdr:col>104</xdr:col>
      <xdr:colOff>9525</xdr:colOff>
      <xdr:row>9</xdr:row>
      <xdr:rowOff>171450</xdr:rowOff>
    </xdr:to>
    <xdr:sp macro="" textlink="">
      <xdr:nvSpPr>
        <xdr:cNvPr id="316078" name="Rectangle 28"/>
        <xdr:cNvSpPr>
          <a:spLocks noChangeArrowheads="1"/>
        </xdr:cNvSpPr>
      </xdr:nvSpPr>
      <xdr:spPr bwMode="auto">
        <a:xfrm>
          <a:off x="76352400" y="2381250"/>
          <a:ext cx="190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103</xdr:col>
      <xdr:colOff>438150</xdr:colOff>
      <xdr:row>10</xdr:row>
      <xdr:rowOff>9525</xdr:rowOff>
    </xdr:from>
    <xdr:to>
      <xdr:col>104</xdr:col>
      <xdr:colOff>9525</xdr:colOff>
      <xdr:row>10</xdr:row>
      <xdr:rowOff>161925</xdr:rowOff>
    </xdr:to>
    <xdr:sp macro="" textlink="">
      <xdr:nvSpPr>
        <xdr:cNvPr id="316079" name="Rectangle 28"/>
        <xdr:cNvSpPr>
          <a:spLocks noChangeArrowheads="1"/>
        </xdr:cNvSpPr>
      </xdr:nvSpPr>
      <xdr:spPr bwMode="auto">
        <a:xfrm>
          <a:off x="76352400" y="2581275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103</xdr:col>
      <xdr:colOff>438150</xdr:colOff>
      <xdr:row>10</xdr:row>
      <xdr:rowOff>9525</xdr:rowOff>
    </xdr:from>
    <xdr:to>
      <xdr:col>104</xdr:col>
      <xdr:colOff>9525</xdr:colOff>
      <xdr:row>10</xdr:row>
      <xdr:rowOff>161925</xdr:rowOff>
    </xdr:to>
    <xdr:sp macro="" textlink="">
      <xdr:nvSpPr>
        <xdr:cNvPr id="316080" name="Rectangle 28"/>
        <xdr:cNvSpPr>
          <a:spLocks noChangeArrowheads="1"/>
        </xdr:cNvSpPr>
      </xdr:nvSpPr>
      <xdr:spPr bwMode="auto">
        <a:xfrm>
          <a:off x="76352400" y="2581275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103</xdr:col>
      <xdr:colOff>438150</xdr:colOff>
      <xdr:row>10</xdr:row>
      <xdr:rowOff>9525</xdr:rowOff>
    </xdr:from>
    <xdr:to>
      <xdr:col>104</xdr:col>
      <xdr:colOff>9525</xdr:colOff>
      <xdr:row>10</xdr:row>
      <xdr:rowOff>161925</xdr:rowOff>
    </xdr:to>
    <xdr:sp macro="" textlink="">
      <xdr:nvSpPr>
        <xdr:cNvPr id="316081" name="Rectangle 28"/>
        <xdr:cNvSpPr>
          <a:spLocks noChangeArrowheads="1"/>
        </xdr:cNvSpPr>
      </xdr:nvSpPr>
      <xdr:spPr bwMode="auto">
        <a:xfrm>
          <a:off x="76352400" y="2581275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103</xdr:col>
      <xdr:colOff>438150</xdr:colOff>
      <xdr:row>10</xdr:row>
      <xdr:rowOff>9525</xdr:rowOff>
    </xdr:from>
    <xdr:to>
      <xdr:col>104</xdr:col>
      <xdr:colOff>9525</xdr:colOff>
      <xdr:row>10</xdr:row>
      <xdr:rowOff>161925</xdr:rowOff>
    </xdr:to>
    <xdr:sp macro="" textlink="">
      <xdr:nvSpPr>
        <xdr:cNvPr id="316082" name="Rectangle 28"/>
        <xdr:cNvSpPr>
          <a:spLocks noChangeArrowheads="1"/>
        </xdr:cNvSpPr>
      </xdr:nvSpPr>
      <xdr:spPr bwMode="auto">
        <a:xfrm>
          <a:off x="76352400" y="2581275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103</xdr:col>
      <xdr:colOff>438150</xdr:colOff>
      <xdr:row>10</xdr:row>
      <xdr:rowOff>9525</xdr:rowOff>
    </xdr:from>
    <xdr:to>
      <xdr:col>104</xdr:col>
      <xdr:colOff>9525</xdr:colOff>
      <xdr:row>10</xdr:row>
      <xdr:rowOff>161925</xdr:rowOff>
    </xdr:to>
    <xdr:sp macro="" textlink="">
      <xdr:nvSpPr>
        <xdr:cNvPr id="316083" name="Rectangle 28"/>
        <xdr:cNvSpPr>
          <a:spLocks noChangeArrowheads="1"/>
        </xdr:cNvSpPr>
      </xdr:nvSpPr>
      <xdr:spPr bwMode="auto">
        <a:xfrm>
          <a:off x="76352400" y="2581275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103</xdr:col>
      <xdr:colOff>438150</xdr:colOff>
      <xdr:row>10</xdr:row>
      <xdr:rowOff>9525</xdr:rowOff>
    </xdr:from>
    <xdr:to>
      <xdr:col>104</xdr:col>
      <xdr:colOff>9525</xdr:colOff>
      <xdr:row>10</xdr:row>
      <xdr:rowOff>161925</xdr:rowOff>
    </xdr:to>
    <xdr:sp macro="" textlink="">
      <xdr:nvSpPr>
        <xdr:cNvPr id="316084" name="Rectangle 28"/>
        <xdr:cNvSpPr>
          <a:spLocks noChangeArrowheads="1"/>
        </xdr:cNvSpPr>
      </xdr:nvSpPr>
      <xdr:spPr bwMode="auto">
        <a:xfrm>
          <a:off x="76352400" y="2581275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103</xdr:col>
      <xdr:colOff>438150</xdr:colOff>
      <xdr:row>10</xdr:row>
      <xdr:rowOff>190500</xdr:rowOff>
    </xdr:from>
    <xdr:to>
      <xdr:col>104</xdr:col>
      <xdr:colOff>9525</xdr:colOff>
      <xdr:row>11</xdr:row>
      <xdr:rowOff>142875</xdr:rowOff>
    </xdr:to>
    <xdr:sp macro="" textlink="">
      <xdr:nvSpPr>
        <xdr:cNvPr id="316085" name="Rectangle 28"/>
        <xdr:cNvSpPr>
          <a:spLocks noChangeArrowheads="1"/>
        </xdr:cNvSpPr>
      </xdr:nvSpPr>
      <xdr:spPr bwMode="auto">
        <a:xfrm>
          <a:off x="76352400" y="2762250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103</xdr:col>
      <xdr:colOff>438150</xdr:colOff>
      <xdr:row>10</xdr:row>
      <xdr:rowOff>190500</xdr:rowOff>
    </xdr:from>
    <xdr:to>
      <xdr:col>104</xdr:col>
      <xdr:colOff>9525</xdr:colOff>
      <xdr:row>11</xdr:row>
      <xdr:rowOff>142875</xdr:rowOff>
    </xdr:to>
    <xdr:sp macro="" textlink="">
      <xdr:nvSpPr>
        <xdr:cNvPr id="316086" name="Rectangle 28"/>
        <xdr:cNvSpPr>
          <a:spLocks noChangeArrowheads="1"/>
        </xdr:cNvSpPr>
      </xdr:nvSpPr>
      <xdr:spPr bwMode="auto">
        <a:xfrm>
          <a:off x="76352400" y="2762250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103</xdr:col>
      <xdr:colOff>438150</xdr:colOff>
      <xdr:row>10</xdr:row>
      <xdr:rowOff>190500</xdr:rowOff>
    </xdr:from>
    <xdr:to>
      <xdr:col>104</xdr:col>
      <xdr:colOff>9525</xdr:colOff>
      <xdr:row>11</xdr:row>
      <xdr:rowOff>142875</xdr:rowOff>
    </xdr:to>
    <xdr:sp macro="" textlink="">
      <xdr:nvSpPr>
        <xdr:cNvPr id="316087" name="Rectangle 28"/>
        <xdr:cNvSpPr>
          <a:spLocks noChangeArrowheads="1"/>
        </xdr:cNvSpPr>
      </xdr:nvSpPr>
      <xdr:spPr bwMode="auto">
        <a:xfrm>
          <a:off x="76352400" y="2762250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103</xdr:col>
      <xdr:colOff>438150</xdr:colOff>
      <xdr:row>10</xdr:row>
      <xdr:rowOff>190500</xdr:rowOff>
    </xdr:from>
    <xdr:to>
      <xdr:col>104</xdr:col>
      <xdr:colOff>9525</xdr:colOff>
      <xdr:row>11</xdr:row>
      <xdr:rowOff>142875</xdr:rowOff>
    </xdr:to>
    <xdr:sp macro="" textlink="">
      <xdr:nvSpPr>
        <xdr:cNvPr id="316088" name="Rectangle 28"/>
        <xdr:cNvSpPr>
          <a:spLocks noChangeArrowheads="1"/>
        </xdr:cNvSpPr>
      </xdr:nvSpPr>
      <xdr:spPr bwMode="auto">
        <a:xfrm>
          <a:off x="76352400" y="2762250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103</xdr:col>
      <xdr:colOff>438150</xdr:colOff>
      <xdr:row>10</xdr:row>
      <xdr:rowOff>190500</xdr:rowOff>
    </xdr:from>
    <xdr:to>
      <xdr:col>104</xdr:col>
      <xdr:colOff>9525</xdr:colOff>
      <xdr:row>11</xdr:row>
      <xdr:rowOff>142875</xdr:rowOff>
    </xdr:to>
    <xdr:sp macro="" textlink="">
      <xdr:nvSpPr>
        <xdr:cNvPr id="316089" name="Rectangle 28"/>
        <xdr:cNvSpPr>
          <a:spLocks noChangeArrowheads="1"/>
        </xdr:cNvSpPr>
      </xdr:nvSpPr>
      <xdr:spPr bwMode="auto">
        <a:xfrm>
          <a:off x="76352400" y="2762250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103</xdr:col>
      <xdr:colOff>438150</xdr:colOff>
      <xdr:row>10</xdr:row>
      <xdr:rowOff>190500</xdr:rowOff>
    </xdr:from>
    <xdr:to>
      <xdr:col>104</xdr:col>
      <xdr:colOff>9525</xdr:colOff>
      <xdr:row>11</xdr:row>
      <xdr:rowOff>142875</xdr:rowOff>
    </xdr:to>
    <xdr:sp macro="" textlink="">
      <xdr:nvSpPr>
        <xdr:cNvPr id="316090" name="Rectangle 28"/>
        <xdr:cNvSpPr>
          <a:spLocks noChangeArrowheads="1"/>
        </xdr:cNvSpPr>
      </xdr:nvSpPr>
      <xdr:spPr bwMode="auto">
        <a:xfrm>
          <a:off x="76352400" y="2762250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103</xdr:col>
      <xdr:colOff>438150</xdr:colOff>
      <xdr:row>11</xdr:row>
      <xdr:rowOff>190500</xdr:rowOff>
    </xdr:from>
    <xdr:to>
      <xdr:col>104</xdr:col>
      <xdr:colOff>9525</xdr:colOff>
      <xdr:row>12</xdr:row>
      <xdr:rowOff>133350</xdr:rowOff>
    </xdr:to>
    <xdr:sp macro="" textlink="">
      <xdr:nvSpPr>
        <xdr:cNvPr id="316091" name="Rectangle 28"/>
        <xdr:cNvSpPr>
          <a:spLocks noChangeArrowheads="1"/>
        </xdr:cNvSpPr>
      </xdr:nvSpPr>
      <xdr:spPr bwMode="auto">
        <a:xfrm>
          <a:off x="76352400" y="2962275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103</xdr:col>
      <xdr:colOff>438150</xdr:colOff>
      <xdr:row>11</xdr:row>
      <xdr:rowOff>190500</xdr:rowOff>
    </xdr:from>
    <xdr:to>
      <xdr:col>104</xdr:col>
      <xdr:colOff>9525</xdr:colOff>
      <xdr:row>12</xdr:row>
      <xdr:rowOff>133350</xdr:rowOff>
    </xdr:to>
    <xdr:sp macro="" textlink="">
      <xdr:nvSpPr>
        <xdr:cNvPr id="316092" name="Rectangle 28"/>
        <xdr:cNvSpPr>
          <a:spLocks noChangeArrowheads="1"/>
        </xdr:cNvSpPr>
      </xdr:nvSpPr>
      <xdr:spPr bwMode="auto">
        <a:xfrm>
          <a:off x="76352400" y="2962275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103</xdr:col>
      <xdr:colOff>438150</xdr:colOff>
      <xdr:row>11</xdr:row>
      <xdr:rowOff>190500</xdr:rowOff>
    </xdr:from>
    <xdr:to>
      <xdr:col>104</xdr:col>
      <xdr:colOff>9525</xdr:colOff>
      <xdr:row>12</xdr:row>
      <xdr:rowOff>133350</xdr:rowOff>
    </xdr:to>
    <xdr:sp macro="" textlink="">
      <xdr:nvSpPr>
        <xdr:cNvPr id="316093" name="Rectangle 28"/>
        <xdr:cNvSpPr>
          <a:spLocks noChangeArrowheads="1"/>
        </xdr:cNvSpPr>
      </xdr:nvSpPr>
      <xdr:spPr bwMode="auto">
        <a:xfrm>
          <a:off x="76352400" y="2962275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103</xdr:col>
      <xdr:colOff>438150</xdr:colOff>
      <xdr:row>11</xdr:row>
      <xdr:rowOff>190500</xdr:rowOff>
    </xdr:from>
    <xdr:to>
      <xdr:col>104</xdr:col>
      <xdr:colOff>9525</xdr:colOff>
      <xdr:row>12</xdr:row>
      <xdr:rowOff>133350</xdr:rowOff>
    </xdr:to>
    <xdr:sp macro="" textlink="">
      <xdr:nvSpPr>
        <xdr:cNvPr id="316094" name="Rectangle 28"/>
        <xdr:cNvSpPr>
          <a:spLocks noChangeArrowheads="1"/>
        </xdr:cNvSpPr>
      </xdr:nvSpPr>
      <xdr:spPr bwMode="auto">
        <a:xfrm>
          <a:off x="76352400" y="2962275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103</xdr:col>
      <xdr:colOff>438150</xdr:colOff>
      <xdr:row>11</xdr:row>
      <xdr:rowOff>190500</xdr:rowOff>
    </xdr:from>
    <xdr:to>
      <xdr:col>104</xdr:col>
      <xdr:colOff>9525</xdr:colOff>
      <xdr:row>12</xdr:row>
      <xdr:rowOff>133350</xdr:rowOff>
    </xdr:to>
    <xdr:sp macro="" textlink="">
      <xdr:nvSpPr>
        <xdr:cNvPr id="316095" name="Rectangle 28"/>
        <xdr:cNvSpPr>
          <a:spLocks noChangeArrowheads="1"/>
        </xdr:cNvSpPr>
      </xdr:nvSpPr>
      <xdr:spPr bwMode="auto">
        <a:xfrm>
          <a:off x="76352400" y="2962275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103</xdr:col>
      <xdr:colOff>438150</xdr:colOff>
      <xdr:row>11</xdr:row>
      <xdr:rowOff>190500</xdr:rowOff>
    </xdr:from>
    <xdr:to>
      <xdr:col>104</xdr:col>
      <xdr:colOff>9525</xdr:colOff>
      <xdr:row>12</xdr:row>
      <xdr:rowOff>133350</xdr:rowOff>
    </xdr:to>
    <xdr:sp macro="" textlink="">
      <xdr:nvSpPr>
        <xdr:cNvPr id="316096" name="Rectangle 28"/>
        <xdr:cNvSpPr>
          <a:spLocks noChangeArrowheads="1"/>
        </xdr:cNvSpPr>
      </xdr:nvSpPr>
      <xdr:spPr bwMode="auto">
        <a:xfrm>
          <a:off x="76352400" y="2962275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103</xdr:col>
      <xdr:colOff>438150</xdr:colOff>
      <xdr:row>12</xdr:row>
      <xdr:rowOff>190500</xdr:rowOff>
    </xdr:from>
    <xdr:to>
      <xdr:col>104</xdr:col>
      <xdr:colOff>9525</xdr:colOff>
      <xdr:row>13</xdr:row>
      <xdr:rowOff>133350</xdr:rowOff>
    </xdr:to>
    <xdr:sp macro="" textlink="">
      <xdr:nvSpPr>
        <xdr:cNvPr id="316097" name="Rectangle 28"/>
        <xdr:cNvSpPr>
          <a:spLocks noChangeArrowheads="1"/>
        </xdr:cNvSpPr>
      </xdr:nvSpPr>
      <xdr:spPr bwMode="auto">
        <a:xfrm>
          <a:off x="76352400" y="3162300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103</xdr:col>
      <xdr:colOff>438150</xdr:colOff>
      <xdr:row>12</xdr:row>
      <xdr:rowOff>190500</xdr:rowOff>
    </xdr:from>
    <xdr:to>
      <xdr:col>104</xdr:col>
      <xdr:colOff>9525</xdr:colOff>
      <xdr:row>13</xdr:row>
      <xdr:rowOff>133350</xdr:rowOff>
    </xdr:to>
    <xdr:sp macro="" textlink="">
      <xdr:nvSpPr>
        <xdr:cNvPr id="316098" name="Rectangle 28"/>
        <xdr:cNvSpPr>
          <a:spLocks noChangeArrowheads="1"/>
        </xdr:cNvSpPr>
      </xdr:nvSpPr>
      <xdr:spPr bwMode="auto">
        <a:xfrm>
          <a:off x="76352400" y="3162300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103</xdr:col>
      <xdr:colOff>438150</xdr:colOff>
      <xdr:row>12</xdr:row>
      <xdr:rowOff>190500</xdr:rowOff>
    </xdr:from>
    <xdr:to>
      <xdr:col>104</xdr:col>
      <xdr:colOff>9525</xdr:colOff>
      <xdr:row>13</xdr:row>
      <xdr:rowOff>133350</xdr:rowOff>
    </xdr:to>
    <xdr:sp macro="" textlink="">
      <xdr:nvSpPr>
        <xdr:cNvPr id="316099" name="Rectangle 28"/>
        <xdr:cNvSpPr>
          <a:spLocks noChangeArrowheads="1"/>
        </xdr:cNvSpPr>
      </xdr:nvSpPr>
      <xdr:spPr bwMode="auto">
        <a:xfrm>
          <a:off x="76352400" y="3162300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103</xdr:col>
      <xdr:colOff>438150</xdr:colOff>
      <xdr:row>12</xdr:row>
      <xdr:rowOff>190500</xdr:rowOff>
    </xdr:from>
    <xdr:to>
      <xdr:col>104</xdr:col>
      <xdr:colOff>9525</xdr:colOff>
      <xdr:row>13</xdr:row>
      <xdr:rowOff>133350</xdr:rowOff>
    </xdr:to>
    <xdr:sp macro="" textlink="">
      <xdr:nvSpPr>
        <xdr:cNvPr id="316100" name="Rectangle 28"/>
        <xdr:cNvSpPr>
          <a:spLocks noChangeArrowheads="1"/>
        </xdr:cNvSpPr>
      </xdr:nvSpPr>
      <xdr:spPr bwMode="auto">
        <a:xfrm>
          <a:off x="76352400" y="3162300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103</xdr:col>
      <xdr:colOff>438150</xdr:colOff>
      <xdr:row>12</xdr:row>
      <xdr:rowOff>190500</xdr:rowOff>
    </xdr:from>
    <xdr:to>
      <xdr:col>104</xdr:col>
      <xdr:colOff>9525</xdr:colOff>
      <xdr:row>13</xdr:row>
      <xdr:rowOff>133350</xdr:rowOff>
    </xdr:to>
    <xdr:sp macro="" textlink="">
      <xdr:nvSpPr>
        <xdr:cNvPr id="316101" name="Rectangle 28"/>
        <xdr:cNvSpPr>
          <a:spLocks noChangeArrowheads="1"/>
        </xdr:cNvSpPr>
      </xdr:nvSpPr>
      <xdr:spPr bwMode="auto">
        <a:xfrm>
          <a:off x="76352400" y="3162300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103</xdr:col>
      <xdr:colOff>438150</xdr:colOff>
      <xdr:row>12</xdr:row>
      <xdr:rowOff>190500</xdr:rowOff>
    </xdr:from>
    <xdr:to>
      <xdr:col>104</xdr:col>
      <xdr:colOff>9525</xdr:colOff>
      <xdr:row>13</xdr:row>
      <xdr:rowOff>133350</xdr:rowOff>
    </xdr:to>
    <xdr:sp macro="" textlink="">
      <xdr:nvSpPr>
        <xdr:cNvPr id="316102" name="Rectangle 28"/>
        <xdr:cNvSpPr>
          <a:spLocks noChangeArrowheads="1"/>
        </xdr:cNvSpPr>
      </xdr:nvSpPr>
      <xdr:spPr bwMode="auto">
        <a:xfrm>
          <a:off x="76352400" y="3162300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103</xdr:col>
      <xdr:colOff>438150</xdr:colOff>
      <xdr:row>13</xdr:row>
      <xdr:rowOff>171450</xdr:rowOff>
    </xdr:from>
    <xdr:to>
      <xdr:col>104</xdr:col>
      <xdr:colOff>9525</xdr:colOff>
      <xdr:row>14</xdr:row>
      <xdr:rowOff>123825</xdr:rowOff>
    </xdr:to>
    <xdr:sp macro="" textlink="">
      <xdr:nvSpPr>
        <xdr:cNvPr id="316103" name="Rectangle 28"/>
        <xdr:cNvSpPr>
          <a:spLocks noChangeArrowheads="1"/>
        </xdr:cNvSpPr>
      </xdr:nvSpPr>
      <xdr:spPr bwMode="auto">
        <a:xfrm>
          <a:off x="76352400" y="3343275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103</xdr:col>
      <xdr:colOff>438150</xdr:colOff>
      <xdr:row>13</xdr:row>
      <xdr:rowOff>171450</xdr:rowOff>
    </xdr:from>
    <xdr:to>
      <xdr:col>104</xdr:col>
      <xdr:colOff>9525</xdr:colOff>
      <xdr:row>14</xdr:row>
      <xdr:rowOff>123825</xdr:rowOff>
    </xdr:to>
    <xdr:sp macro="" textlink="">
      <xdr:nvSpPr>
        <xdr:cNvPr id="316104" name="Rectangle 28"/>
        <xdr:cNvSpPr>
          <a:spLocks noChangeArrowheads="1"/>
        </xdr:cNvSpPr>
      </xdr:nvSpPr>
      <xdr:spPr bwMode="auto">
        <a:xfrm>
          <a:off x="76352400" y="3343275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103</xdr:col>
      <xdr:colOff>438150</xdr:colOff>
      <xdr:row>13</xdr:row>
      <xdr:rowOff>171450</xdr:rowOff>
    </xdr:from>
    <xdr:to>
      <xdr:col>104</xdr:col>
      <xdr:colOff>9525</xdr:colOff>
      <xdr:row>14</xdr:row>
      <xdr:rowOff>123825</xdr:rowOff>
    </xdr:to>
    <xdr:sp macro="" textlink="">
      <xdr:nvSpPr>
        <xdr:cNvPr id="316105" name="Rectangle 28"/>
        <xdr:cNvSpPr>
          <a:spLocks noChangeArrowheads="1"/>
        </xdr:cNvSpPr>
      </xdr:nvSpPr>
      <xdr:spPr bwMode="auto">
        <a:xfrm>
          <a:off x="76352400" y="3343275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103</xdr:col>
      <xdr:colOff>438150</xdr:colOff>
      <xdr:row>13</xdr:row>
      <xdr:rowOff>171450</xdr:rowOff>
    </xdr:from>
    <xdr:to>
      <xdr:col>104</xdr:col>
      <xdr:colOff>9525</xdr:colOff>
      <xdr:row>14</xdr:row>
      <xdr:rowOff>123825</xdr:rowOff>
    </xdr:to>
    <xdr:sp macro="" textlink="">
      <xdr:nvSpPr>
        <xdr:cNvPr id="316106" name="Rectangle 28"/>
        <xdr:cNvSpPr>
          <a:spLocks noChangeArrowheads="1"/>
        </xdr:cNvSpPr>
      </xdr:nvSpPr>
      <xdr:spPr bwMode="auto">
        <a:xfrm>
          <a:off x="76352400" y="3343275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103</xdr:col>
      <xdr:colOff>438150</xdr:colOff>
      <xdr:row>13</xdr:row>
      <xdr:rowOff>171450</xdr:rowOff>
    </xdr:from>
    <xdr:to>
      <xdr:col>104</xdr:col>
      <xdr:colOff>9525</xdr:colOff>
      <xdr:row>14</xdr:row>
      <xdr:rowOff>123825</xdr:rowOff>
    </xdr:to>
    <xdr:sp macro="" textlink="">
      <xdr:nvSpPr>
        <xdr:cNvPr id="316107" name="Rectangle 28"/>
        <xdr:cNvSpPr>
          <a:spLocks noChangeArrowheads="1"/>
        </xdr:cNvSpPr>
      </xdr:nvSpPr>
      <xdr:spPr bwMode="auto">
        <a:xfrm>
          <a:off x="76352400" y="3343275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103</xdr:col>
      <xdr:colOff>438150</xdr:colOff>
      <xdr:row>13</xdr:row>
      <xdr:rowOff>171450</xdr:rowOff>
    </xdr:from>
    <xdr:to>
      <xdr:col>104</xdr:col>
      <xdr:colOff>9525</xdr:colOff>
      <xdr:row>14</xdr:row>
      <xdr:rowOff>123825</xdr:rowOff>
    </xdr:to>
    <xdr:sp macro="" textlink="">
      <xdr:nvSpPr>
        <xdr:cNvPr id="316108" name="Rectangle 28"/>
        <xdr:cNvSpPr>
          <a:spLocks noChangeArrowheads="1"/>
        </xdr:cNvSpPr>
      </xdr:nvSpPr>
      <xdr:spPr bwMode="auto">
        <a:xfrm>
          <a:off x="76352400" y="3343275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103</xdr:col>
      <xdr:colOff>438150</xdr:colOff>
      <xdr:row>14</xdr:row>
      <xdr:rowOff>142875</xdr:rowOff>
    </xdr:from>
    <xdr:to>
      <xdr:col>104</xdr:col>
      <xdr:colOff>9525</xdr:colOff>
      <xdr:row>15</xdr:row>
      <xdr:rowOff>104775</xdr:rowOff>
    </xdr:to>
    <xdr:sp macro="" textlink="">
      <xdr:nvSpPr>
        <xdr:cNvPr id="316109" name="Rectangle 28"/>
        <xdr:cNvSpPr>
          <a:spLocks noChangeArrowheads="1"/>
        </xdr:cNvSpPr>
      </xdr:nvSpPr>
      <xdr:spPr bwMode="auto">
        <a:xfrm>
          <a:off x="76352400" y="3514725"/>
          <a:ext cx="190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103</xdr:col>
      <xdr:colOff>438150</xdr:colOff>
      <xdr:row>14</xdr:row>
      <xdr:rowOff>142875</xdr:rowOff>
    </xdr:from>
    <xdr:to>
      <xdr:col>104</xdr:col>
      <xdr:colOff>9525</xdr:colOff>
      <xdr:row>15</xdr:row>
      <xdr:rowOff>104775</xdr:rowOff>
    </xdr:to>
    <xdr:sp macro="" textlink="">
      <xdr:nvSpPr>
        <xdr:cNvPr id="316110" name="Rectangle 28"/>
        <xdr:cNvSpPr>
          <a:spLocks noChangeArrowheads="1"/>
        </xdr:cNvSpPr>
      </xdr:nvSpPr>
      <xdr:spPr bwMode="auto">
        <a:xfrm>
          <a:off x="76352400" y="3514725"/>
          <a:ext cx="190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103</xdr:col>
      <xdr:colOff>438150</xdr:colOff>
      <xdr:row>14</xdr:row>
      <xdr:rowOff>142875</xdr:rowOff>
    </xdr:from>
    <xdr:to>
      <xdr:col>104</xdr:col>
      <xdr:colOff>9525</xdr:colOff>
      <xdr:row>15</xdr:row>
      <xdr:rowOff>104775</xdr:rowOff>
    </xdr:to>
    <xdr:sp macro="" textlink="">
      <xdr:nvSpPr>
        <xdr:cNvPr id="316111" name="Rectangle 28"/>
        <xdr:cNvSpPr>
          <a:spLocks noChangeArrowheads="1"/>
        </xdr:cNvSpPr>
      </xdr:nvSpPr>
      <xdr:spPr bwMode="auto">
        <a:xfrm>
          <a:off x="76352400" y="3514725"/>
          <a:ext cx="190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103</xdr:col>
      <xdr:colOff>438150</xdr:colOff>
      <xdr:row>14</xdr:row>
      <xdr:rowOff>142875</xdr:rowOff>
    </xdr:from>
    <xdr:to>
      <xdr:col>104</xdr:col>
      <xdr:colOff>9525</xdr:colOff>
      <xdr:row>15</xdr:row>
      <xdr:rowOff>104775</xdr:rowOff>
    </xdr:to>
    <xdr:sp macro="" textlink="">
      <xdr:nvSpPr>
        <xdr:cNvPr id="316112" name="Rectangle 28"/>
        <xdr:cNvSpPr>
          <a:spLocks noChangeArrowheads="1"/>
        </xdr:cNvSpPr>
      </xdr:nvSpPr>
      <xdr:spPr bwMode="auto">
        <a:xfrm>
          <a:off x="76352400" y="3514725"/>
          <a:ext cx="190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103</xdr:col>
      <xdr:colOff>438150</xdr:colOff>
      <xdr:row>14</xdr:row>
      <xdr:rowOff>142875</xdr:rowOff>
    </xdr:from>
    <xdr:to>
      <xdr:col>104</xdr:col>
      <xdr:colOff>9525</xdr:colOff>
      <xdr:row>15</xdr:row>
      <xdr:rowOff>104775</xdr:rowOff>
    </xdr:to>
    <xdr:sp macro="" textlink="">
      <xdr:nvSpPr>
        <xdr:cNvPr id="316113" name="Rectangle 28"/>
        <xdr:cNvSpPr>
          <a:spLocks noChangeArrowheads="1"/>
        </xdr:cNvSpPr>
      </xdr:nvSpPr>
      <xdr:spPr bwMode="auto">
        <a:xfrm>
          <a:off x="76352400" y="3514725"/>
          <a:ext cx="190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103</xdr:col>
      <xdr:colOff>438150</xdr:colOff>
      <xdr:row>14</xdr:row>
      <xdr:rowOff>142875</xdr:rowOff>
    </xdr:from>
    <xdr:to>
      <xdr:col>104</xdr:col>
      <xdr:colOff>9525</xdr:colOff>
      <xdr:row>15</xdr:row>
      <xdr:rowOff>104775</xdr:rowOff>
    </xdr:to>
    <xdr:sp macro="" textlink="">
      <xdr:nvSpPr>
        <xdr:cNvPr id="316114" name="Rectangle 28"/>
        <xdr:cNvSpPr>
          <a:spLocks noChangeArrowheads="1"/>
        </xdr:cNvSpPr>
      </xdr:nvSpPr>
      <xdr:spPr bwMode="auto">
        <a:xfrm>
          <a:off x="76352400" y="3514725"/>
          <a:ext cx="190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103</xdr:col>
      <xdr:colOff>438150</xdr:colOff>
      <xdr:row>15</xdr:row>
      <xdr:rowOff>142875</xdr:rowOff>
    </xdr:from>
    <xdr:to>
      <xdr:col>104</xdr:col>
      <xdr:colOff>9525</xdr:colOff>
      <xdr:row>16</xdr:row>
      <xdr:rowOff>95250</xdr:rowOff>
    </xdr:to>
    <xdr:sp macro="" textlink="">
      <xdr:nvSpPr>
        <xdr:cNvPr id="316115" name="Rectangle 28"/>
        <xdr:cNvSpPr>
          <a:spLocks noChangeArrowheads="1"/>
        </xdr:cNvSpPr>
      </xdr:nvSpPr>
      <xdr:spPr bwMode="auto">
        <a:xfrm>
          <a:off x="76352400" y="3714750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103</xdr:col>
      <xdr:colOff>438150</xdr:colOff>
      <xdr:row>15</xdr:row>
      <xdr:rowOff>142875</xdr:rowOff>
    </xdr:from>
    <xdr:to>
      <xdr:col>104</xdr:col>
      <xdr:colOff>9525</xdr:colOff>
      <xdr:row>16</xdr:row>
      <xdr:rowOff>95250</xdr:rowOff>
    </xdr:to>
    <xdr:sp macro="" textlink="">
      <xdr:nvSpPr>
        <xdr:cNvPr id="316116" name="Rectangle 28"/>
        <xdr:cNvSpPr>
          <a:spLocks noChangeArrowheads="1"/>
        </xdr:cNvSpPr>
      </xdr:nvSpPr>
      <xdr:spPr bwMode="auto">
        <a:xfrm>
          <a:off x="76352400" y="3714750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103</xdr:col>
      <xdr:colOff>438150</xdr:colOff>
      <xdr:row>15</xdr:row>
      <xdr:rowOff>142875</xdr:rowOff>
    </xdr:from>
    <xdr:to>
      <xdr:col>104</xdr:col>
      <xdr:colOff>9525</xdr:colOff>
      <xdr:row>16</xdr:row>
      <xdr:rowOff>95250</xdr:rowOff>
    </xdr:to>
    <xdr:sp macro="" textlink="">
      <xdr:nvSpPr>
        <xdr:cNvPr id="316117" name="Rectangle 28"/>
        <xdr:cNvSpPr>
          <a:spLocks noChangeArrowheads="1"/>
        </xdr:cNvSpPr>
      </xdr:nvSpPr>
      <xdr:spPr bwMode="auto">
        <a:xfrm>
          <a:off x="76352400" y="3714750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103</xdr:col>
      <xdr:colOff>438150</xdr:colOff>
      <xdr:row>15</xdr:row>
      <xdr:rowOff>142875</xdr:rowOff>
    </xdr:from>
    <xdr:to>
      <xdr:col>104</xdr:col>
      <xdr:colOff>9525</xdr:colOff>
      <xdr:row>16</xdr:row>
      <xdr:rowOff>95250</xdr:rowOff>
    </xdr:to>
    <xdr:sp macro="" textlink="">
      <xdr:nvSpPr>
        <xdr:cNvPr id="316118" name="Rectangle 28"/>
        <xdr:cNvSpPr>
          <a:spLocks noChangeArrowheads="1"/>
        </xdr:cNvSpPr>
      </xdr:nvSpPr>
      <xdr:spPr bwMode="auto">
        <a:xfrm>
          <a:off x="76352400" y="3714750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103</xdr:col>
      <xdr:colOff>438150</xdr:colOff>
      <xdr:row>15</xdr:row>
      <xdr:rowOff>142875</xdr:rowOff>
    </xdr:from>
    <xdr:to>
      <xdr:col>104</xdr:col>
      <xdr:colOff>9525</xdr:colOff>
      <xdr:row>16</xdr:row>
      <xdr:rowOff>95250</xdr:rowOff>
    </xdr:to>
    <xdr:sp macro="" textlink="">
      <xdr:nvSpPr>
        <xdr:cNvPr id="316119" name="Rectangle 28"/>
        <xdr:cNvSpPr>
          <a:spLocks noChangeArrowheads="1"/>
        </xdr:cNvSpPr>
      </xdr:nvSpPr>
      <xdr:spPr bwMode="auto">
        <a:xfrm>
          <a:off x="76352400" y="3714750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103</xdr:col>
      <xdr:colOff>438150</xdr:colOff>
      <xdr:row>15</xdr:row>
      <xdr:rowOff>142875</xdr:rowOff>
    </xdr:from>
    <xdr:to>
      <xdr:col>104</xdr:col>
      <xdr:colOff>9525</xdr:colOff>
      <xdr:row>16</xdr:row>
      <xdr:rowOff>95250</xdr:rowOff>
    </xdr:to>
    <xdr:sp macro="" textlink="">
      <xdr:nvSpPr>
        <xdr:cNvPr id="316120" name="Rectangle 28"/>
        <xdr:cNvSpPr>
          <a:spLocks noChangeArrowheads="1"/>
        </xdr:cNvSpPr>
      </xdr:nvSpPr>
      <xdr:spPr bwMode="auto">
        <a:xfrm>
          <a:off x="76352400" y="3714750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103</xdr:col>
      <xdr:colOff>438150</xdr:colOff>
      <xdr:row>16</xdr:row>
      <xdr:rowOff>142875</xdr:rowOff>
    </xdr:from>
    <xdr:to>
      <xdr:col>104</xdr:col>
      <xdr:colOff>9525</xdr:colOff>
      <xdr:row>17</xdr:row>
      <xdr:rowOff>95250</xdr:rowOff>
    </xdr:to>
    <xdr:sp macro="" textlink="">
      <xdr:nvSpPr>
        <xdr:cNvPr id="316121" name="Rectangle 28"/>
        <xdr:cNvSpPr>
          <a:spLocks noChangeArrowheads="1"/>
        </xdr:cNvSpPr>
      </xdr:nvSpPr>
      <xdr:spPr bwMode="auto">
        <a:xfrm>
          <a:off x="76352400" y="3914775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103</xdr:col>
      <xdr:colOff>438150</xdr:colOff>
      <xdr:row>16</xdr:row>
      <xdr:rowOff>142875</xdr:rowOff>
    </xdr:from>
    <xdr:to>
      <xdr:col>104</xdr:col>
      <xdr:colOff>9525</xdr:colOff>
      <xdr:row>17</xdr:row>
      <xdr:rowOff>95250</xdr:rowOff>
    </xdr:to>
    <xdr:sp macro="" textlink="">
      <xdr:nvSpPr>
        <xdr:cNvPr id="316122" name="Rectangle 28"/>
        <xdr:cNvSpPr>
          <a:spLocks noChangeArrowheads="1"/>
        </xdr:cNvSpPr>
      </xdr:nvSpPr>
      <xdr:spPr bwMode="auto">
        <a:xfrm>
          <a:off x="76352400" y="3914775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103</xdr:col>
      <xdr:colOff>438150</xdr:colOff>
      <xdr:row>16</xdr:row>
      <xdr:rowOff>142875</xdr:rowOff>
    </xdr:from>
    <xdr:to>
      <xdr:col>104</xdr:col>
      <xdr:colOff>9525</xdr:colOff>
      <xdr:row>17</xdr:row>
      <xdr:rowOff>95250</xdr:rowOff>
    </xdr:to>
    <xdr:sp macro="" textlink="">
      <xdr:nvSpPr>
        <xdr:cNvPr id="316123" name="Rectangle 28"/>
        <xdr:cNvSpPr>
          <a:spLocks noChangeArrowheads="1"/>
        </xdr:cNvSpPr>
      </xdr:nvSpPr>
      <xdr:spPr bwMode="auto">
        <a:xfrm>
          <a:off x="76352400" y="3914775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103</xdr:col>
      <xdr:colOff>438150</xdr:colOff>
      <xdr:row>16</xdr:row>
      <xdr:rowOff>142875</xdr:rowOff>
    </xdr:from>
    <xdr:to>
      <xdr:col>104</xdr:col>
      <xdr:colOff>9525</xdr:colOff>
      <xdr:row>17</xdr:row>
      <xdr:rowOff>95250</xdr:rowOff>
    </xdr:to>
    <xdr:sp macro="" textlink="">
      <xdr:nvSpPr>
        <xdr:cNvPr id="316124" name="Rectangle 28"/>
        <xdr:cNvSpPr>
          <a:spLocks noChangeArrowheads="1"/>
        </xdr:cNvSpPr>
      </xdr:nvSpPr>
      <xdr:spPr bwMode="auto">
        <a:xfrm>
          <a:off x="76352400" y="3914775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103</xdr:col>
      <xdr:colOff>438150</xdr:colOff>
      <xdr:row>16</xdr:row>
      <xdr:rowOff>142875</xdr:rowOff>
    </xdr:from>
    <xdr:to>
      <xdr:col>104</xdr:col>
      <xdr:colOff>9525</xdr:colOff>
      <xdr:row>17</xdr:row>
      <xdr:rowOff>95250</xdr:rowOff>
    </xdr:to>
    <xdr:sp macro="" textlink="">
      <xdr:nvSpPr>
        <xdr:cNvPr id="316125" name="Rectangle 28"/>
        <xdr:cNvSpPr>
          <a:spLocks noChangeArrowheads="1"/>
        </xdr:cNvSpPr>
      </xdr:nvSpPr>
      <xdr:spPr bwMode="auto">
        <a:xfrm>
          <a:off x="76352400" y="3914775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103</xdr:col>
      <xdr:colOff>438150</xdr:colOff>
      <xdr:row>16</xdr:row>
      <xdr:rowOff>142875</xdr:rowOff>
    </xdr:from>
    <xdr:to>
      <xdr:col>104</xdr:col>
      <xdr:colOff>9525</xdr:colOff>
      <xdr:row>17</xdr:row>
      <xdr:rowOff>95250</xdr:rowOff>
    </xdr:to>
    <xdr:sp macro="" textlink="">
      <xdr:nvSpPr>
        <xdr:cNvPr id="316126" name="Rectangle 28"/>
        <xdr:cNvSpPr>
          <a:spLocks noChangeArrowheads="1"/>
        </xdr:cNvSpPr>
      </xdr:nvSpPr>
      <xdr:spPr bwMode="auto">
        <a:xfrm>
          <a:off x="76352400" y="3914775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103</xdr:col>
      <xdr:colOff>438150</xdr:colOff>
      <xdr:row>17</xdr:row>
      <xdr:rowOff>133350</xdr:rowOff>
    </xdr:from>
    <xdr:to>
      <xdr:col>104</xdr:col>
      <xdr:colOff>9525</xdr:colOff>
      <xdr:row>18</xdr:row>
      <xdr:rowOff>76200</xdr:rowOff>
    </xdr:to>
    <xdr:sp macro="" textlink="">
      <xdr:nvSpPr>
        <xdr:cNvPr id="316127" name="Rectangle 28"/>
        <xdr:cNvSpPr>
          <a:spLocks noChangeArrowheads="1"/>
        </xdr:cNvSpPr>
      </xdr:nvSpPr>
      <xdr:spPr bwMode="auto">
        <a:xfrm>
          <a:off x="76352400" y="4105275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103</xdr:col>
      <xdr:colOff>438150</xdr:colOff>
      <xdr:row>17</xdr:row>
      <xdr:rowOff>133350</xdr:rowOff>
    </xdr:from>
    <xdr:to>
      <xdr:col>104</xdr:col>
      <xdr:colOff>9525</xdr:colOff>
      <xdr:row>18</xdr:row>
      <xdr:rowOff>76200</xdr:rowOff>
    </xdr:to>
    <xdr:sp macro="" textlink="">
      <xdr:nvSpPr>
        <xdr:cNvPr id="316128" name="Rectangle 28"/>
        <xdr:cNvSpPr>
          <a:spLocks noChangeArrowheads="1"/>
        </xdr:cNvSpPr>
      </xdr:nvSpPr>
      <xdr:spPr bwMode="auto">
        <a:xfrm>
          <a:off x="76352400" y="4105275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103</xdr:col>
      <xdr:colOff>438150</xdr:colOff>
      <xdr:row>17</xdr:row>
      <xdr:rowOff>133350</xdr:rowOff>
    </xdr:from>
    <xdr:to>
      <xdr:col>104</xdr:col>
      <xdr:colOff>9525</xdr:colOff>
      <xdr:row>18</xdr:row>
      <xdr:rowOff>76200</xdr:rowOff>
    </xdr:to>
    <xdr:sp macro="" textlink="">
      <xdr:nvSpPr>
        <xdr:cNvPr id="316129" name="Rectangle 28"/>
        <xdr:cNvSpPr>
          <a:spLocks noChangeArrowheads="1"/>
        </xdr:cNvSpPr>
      </xdr:nvSpPr>
      <xdr:spPr bwMode="auto">
        <a:xfrm>
          <a:off x="76352400" y="4105275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103</xdr:col>
      <xdr:colOff>438150</xdr:colOff>
      <xdr:row>17</xdr:row>
      <xdr:rowOff>133350</xdr:rowOff>
    </xdr:from>
    <xdr:to>
      <xdr:col>104</xdr:col>
      <xdr:colOff>9525</xdr:colOff>
      <xdr:row>18</xdr:row>
      <xdr:rowOff>76200</xdr:rowOff>
    </xdr:to>
    <xdr:sp macro="" textlink="">
      <xdr:nvSpPr>
        <xdr:cNvPr id="316130" name="Rectangle 28"/>
        <xdr:cNvSpPr>
          <a:spLocks noChangeArrowheads="1"/>
        </xdr:cNvSpPr>
      </xdr:nvSpPr>
      <xdr:spPr bwMode="auto">
        <a:xfrm>
          <a:off x="76352400" y="4105275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103</xdr:col>
      <xdr:colOff>438150</xdr:colOff>
      <xdr:row>17</xdr:row>
      <xdr:rowOff>133350</xdr:rowOff>
    </xdr:from>
    <xdr:to>
      <xdr:col>104</xdr:col>
      <xdr:colOff>9525</xdr:colOff>
      <xdr:row>18</xdr:row>
      <xdr:rowOff>76200</xdr:rowOff>
    </xdr:to>
    <xdr:sp macro="" textlink="">
      <xdr:nvSpPr>
        <xdr:cNvPr id="316131" name="Rectangle 28"/>
        <xdr:cNvSpPr>
          <a:spLocks noChangeArrowheads="1"/>
        </xdr:cNvSpPr>
      </xdr:nvSpPr>
      <xdr:spPr bwMode="auto">
        <a:xfrm>
          <a:off x="76352400" y="4105275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103</xdr:col>
      <xdr:colOff>438150</xdr:colOff>
      <xdr:row>17</xdr:row>
      <xdr:rowOff>133350</xdr:rowOff>
    </xdr:from>
    <xdr:to>
      <xdr:col>104</xdr:col>
      <xdr:colOff>9525</xdr:colOff>
      <xdr:row>18</xdr:row>
      <xdr:rowOff>76200</xdr:rowOff>
    </xdr:to>
    <xdr:sp macro="" textlink="">
      <xdr:nvSpPr>
        <xdr:cNvPr id="316132" name="Rectangle 28"/>
        <xdr:cNvSpPr>
          <a:spLocks noChangeArrowheads="1"/>
        </xdr:cNvSpPr>
      </xdr:nvSpPr>
      <xdr:spPr bwMode="auto">
        <a:xfrm>
          <a:off x="76352400" y="4105275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103</xdr:col>
      <xdr:colOff>438150</xdr:colOff>
      <xdr:row>18</xdr:row>
      <xdr:rowOff>123825</xdr:rowOff>
    </xdr:from>
    <xdr:to>
      <xdr:col>104</xdr:col>
      <xdr:colOff>9525</xdr:colOff>
      <xdr:row>19</xdr:row>
      <xdr:rowOff>66675</xdr:rowOff>
    </xdr:to>
    <xdr:sp macro="" textlink="">
      <xdr:nvSpPr>
        <xdr:cNvPr id="316133" name="Rectangle 28"/>
        <xdr:cNvSpPr>
          <a:spLocks noChangeArrowheads="1"/>
        </xdr:cNvSpPr>
      </xdr:nvSpPr>
      <xdr:spPr bwMode="auto">
        <a:xfrm>
          <a:off x="76352400" y="4295775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103</xdr:col>
      <xdr:colOff>438150</xdr:colOff>
      <xdr:row>18</xdr:row>
      <xdr:rowOff>123825</xdr:rowOff>
    </xdr:from>
    <xdr:to>
      <xdr:col>104</xdr:col>
      <xdr:colOff>9525</xdr:colOff>
      <xdr:row>19</xdr:row>
      <xdr:rowOff>66675</xdr:rowOff>
    </xdr:to>
    <xdr:sp macro="" textlink="">
      <xdr:nvSpPr>
        <xdr:cNvPr id="316134" name="Rectangle 28"/>
        <xdr:cNvSpPr>
          <a:spLocks noChangeArrowheads="1"/>
        </xdr:cNvSpPr>
      </xdr:nvSpPr>
      <xdr:spPr bwMode="auto">
        <a:xfrm>
          <a:off x="76352400" y="4295775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103</xdr:col>
      <xdr:colOff>438150</xdr:colOff>
      <xdr:row>18</xdr:row>
      <xdr:rowOff>123825</xdr:rowOff>
    </xdr:from>
    <xdr:to>
      <xdr:col>104</xdr:col>
      <xdr:colOff>9525</xdr:colOff>
      <xdr:row>19</xdr:row>
      <xdr:rowOff>66675</xdr:rowOff>
    </xdr:to>
    <xdr:sp macro="" textlink="">
      <xdr:nvSpPr>
        <xdr:cNvPr id="316135" name="Rectangle 28"/>
        <xdr:cNvSpPr>
          <a:spLocks noChangeArrowheads="1"/>
        </xdr:cNvSpPr>
      </xdr:nvSpPr>
      <xdr:spPr bwMode="auto">
        <a:xfrm>
          <a:off x="76352400" y="4295775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103</xdr:col>
      <xdr:colOff>438150</xdr:colOff>
      <xdr:row>18</xdr:row>
      <xdr:rowOff>123825</xdr:rowOff>
    </xdr:from>
    <xdr:to>
      <xdr:col>104</xdr:col>
      <xdr:colOff>9525</xdr:colOff>
      <xdr:row>19</xdr:row>
      <xdr:rowOff>66675</xdr:rowOff>
    </xdr:to>
    <xdr:sp macro="" textlink="">
      <xdr:nvSpPr>
        <xdr:cNvPr id="316136" name="Rectangle 28"/>
        <xdr:cNvSpPr>
          <a:spLocks noChangeArrowheads="1"/>
        </xdr:cNvSpPr>
      </xdr:nvSpPr>
      <xdr:spPr bwMode="auto">
        <a:xfrm>
          <a:off x="76352400" y="4295775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103</xdr:col>
      <xdr:colOff>438150</xdr:colOff>
      <xdr:row>18</xdr:row>
      <xdr:rowOff>123825</xdr:rowOff>
    </xdr:from>
    <xdr:to>
      <xdr:col>104</xdr:col>
      <xdr:colOff>9525</xdr:colOff>
      <xdr:row>19</xdr:row>
      <xdr:rowOff>66675</xdr:rowOff>
    </xdr:to>
    <xdr:sp macro="" textlink="">
      <xdr:nvSpPr>
        <xdr:cNvPr id="316137" name="Rectangle 28"/>
        <xdr:cNvSpPr>
          <a:spLocks noChangeArrowheads="1"/>
        </xdr:cNvSpPr>
      </xdr:nvSpPr>
      <xdr:spPr bwMode="auto">
        <a:xfrm>
          <a:off x="76352400" y="4295775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103</xdr:col>
      <xdr:colOff>438150</xdr:colOff>
      <xdr:row>18</xdr:row>
      <xdr:rowOff>123825</xdr:rowOff>
    </xdr:from>
    <xdr:to>
      <xdr:col>104</xdr:col>
      <xdr:colOff>9525</xdr:colOff>
      <xdr:row>19</xdr:row>
      <xdr:rowOff>66675</xdr:rowOff>
    </xdr:to>
    <xdr:sp macro="" textlink="">
      <xdr:nvSpPr>
        <xdr:cNvPr id="316138" name="Rectangle 28"/>
        <xdr:cNvSpPr>
          <a:spLocks noChangeArrowheads="1"/>
        </xdr:cNvSpPr>
      </xdr:nvSpPr>
      <xdr:spPr bwMode="auto">
        <a:xfrm>
          <a:off x="76352400" y="4295775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103</xdr:col>
      <xdr:colOff>438150</xdr:colOff>
      <xdr:row>19</xdr:row>
      <xdr:rowOff>104775</xdr:rowOff>
    </xdr:from>
    <xdr:to>
      <xdr:col>104</xdr:col>
      <xdr:colOff>9525</xdr:colOff>
      <xdr:row>20</xdr:row>
      <xdr:rowOff>57150</xdr:rowOff>
    </xdr:to>
    <xdr:sp macro="" textlink="">
      <xdr:nvSpPr>
        <xdr:cNvPr id="316139" name="Rectangle 28"/>
        <xdr:cNvSpPr>
          <a:spLocks noChangeArrowheads="1"/>
        </xdr:cNvSpPr>
      </xdr:nvSpPr>
      <xdr:spPr bwMode="auto">
        <a:xfrm>
          <a:off x="76352400" y="4476750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103</xdr:col>
      <xdr:colOff>438150</xdr:colOff>
      <xdr:row>19</xdr:row>
      <xdr:rowOff>104775</xdr:rowOff>
    </xdr:from>
    <xdr:to>
      <xdr:col>104</xdr:col>
      <xdr:colOff>9525</xdr:colOff>
      <xdr:row>20</xdr:row>
      <xdr:rowOff>57150</xdr:rowOff>
    </xdr:to>
    <xdr:sp macro="" textlink="">
      <xdr:nvSpPr>
        <xdr:cNvPr id="316140" name="Rectangle 28"/>
        <xdr:cNvSpPr>
          <a:spLocks noChangeArrowheads="1"/>
        </xdr:cNvSpPr>
      </xdr:nvSpPr>
      <xdr:spPr bwMode="auto">
        <a:xfrm>
          <a:off x="76352400" y="4476750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103</xdr:col>
      <xdr:colOff>438150</xdr:colOff>
      <xdr:row>19</xdr:row>
      <xdr:rowOff>104775</xdr:rowOff>
    </xdr:from>
    <xdr:to>
      <xdr:col>104</xdr:col>
      <xdr:colOff>9525</xdr:colOff>
      <xdr:row>20</xdr:row>
      <xdr:rowOff>57150</xdr:rowOff>
    </xdr:to>
    <xdr:sp macro="" textlink="">
      <xdr:nvSpPr>
        <xdr:cNvPr id="316141" name="Rectangle 28"/>
        <xdr:cNvSpPr>
          <a:spLocks noChangeArrowheads="1"/>
        </xdr:cNvSpPr>
      </xdr:nvSpPr>
      <xdr:spPr bwMode="auto">
        <a:xfrm>
          <a:off x="76352400" y="4476750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103</xdr:col>
      <xdr:colOff>438150</xdr:colOff>
      <xdr:row>19</xdr:row>
      <xdr:rowOff>104775</xdr:rowOff>
    </xdr:from>
    <xdr:to>
      <xdr:col>104</xdr:col>
      <xdr:colOff>9525</xdr:colOff>
      <xdr:row>20</xdr:row>
      <xdr:rowOff>57150</xdr:rowOff>
    </xdr:to>
    <xdr:sp macro="" textlink="">
      <xdr:nvSpPr>
        <xdr:cNvPr id="316142" name="Rectangle 28"/>
        <xdr:cNvSpPr>
          <a:spLocks noChangeArrowheads="1"/>
        </xdr:cNvSpPr>
      </xdr:nvSpPr>
      <xdr:spPr bwMode="auto">
        <a:xfrm>
          <a:off x="76352400" y="4476750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103</xdr:col>
      <xdr:colOff>438150</xdr:colOff>
      <xdr:row>19</xdr:row>
      <xdr:rowOff>104775</xdr:rowOff>
    </xdr:from>
    <xdr:to>
      <xdr:col>104</xdr:col>
      <xdr:colOff>9525</xdr:colOff>
      <xdr:row>20</xdr:row>
      <xdr:rowOff>57150</xdr:rowOff>
    </xdr:to>
    <xdr:sp macro="" textlink="">
      <xdr:nvSpPr>
        <xdr:cNvPr id="316143" name="Rectangle 28"/>
        <xdr:cNvSpPr>
          <a:spLocks noChangeArrowheads="1"/>
        </xdr:cNvSpPr>
      </xdr:nvSpPr>
      <xdr:spPr bwMode="auto">
        <a:xfrm>
          <a:off x="76352400" y="4476750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103</xdr:col>
      <xdr:colOff>438150</xdr:colOff>
      <xdr:row>19</xdr:row>
      <xdr:rowOff>104775</xdr:rowOff>
    </xdr:from>
    <xdr:to>
      <xdr:col>104</xdr:col>
      <xdr:colOff>9525</xdr:colOff>
      <xdr:row>20</xdr:row>
      <xdr:rowOff>57150</xdr:rowOff>
    </xdr:to>
    <xdr:sp macro="" textlink="">
      <xdr:nvSpPr>
        <xdr:cNvPr id="316144" name="Rectangle 28"/>
        <xdr:cNvSpPr>
          <a:spLocks noChangeArrowheads="1"/>
        </xdr:cNvSpPr>
      </xdr:nvSpPr>
      <xdr:spPr bwMode="auto">
        <a:xfrm>
          <a:off x="76352400" y="4476750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103</xdr:col>
      <xdr:colOff>438150</xdr:colOff>
      <xdr:row>20</xdr:row>
      <xdr:rowOff>104775</xdr:rowOff>
    </xdr:from>
    <xdr:to>
      <xdr:col>104</xdr:col>
      <xdr:colOff>9525</xdr:colOff>
      <xdr:row>21</xdr:row>
      <xdr:rowOff>57150</xdr:rowOff>
    </xdr:to>
    <xdr:sp macro="" textlink="">
      <xdr:nvSpPr>
        <xdr:cNvPr id="316145" name="Rectangle 28"/>
        <xdr:cNvSpPr>
          <a:spLocks noChangeArrowheads="1"/>
        </xdr:cNvSpPr>
      </xdr:nvSpPr>
      <xdr:spPr bwMode="auto">
        <a:xfrm>
          <a:off x="76352400" y="4676775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103</xdr:col>
      <xdr:colOff>438150</xdr:colOff>
      <xdr:row>20</xdr:row>
      <xdr:rowOff>104775</xdr:rowOff>
    </xdr:from>
    <xdr:to>
      <xdr:col>104</xdr:col>
      <xdr:colOff>9525</xdr:colOff>
      <xdr:row>21</xdr:row>
      <xdr:rowOff>57150</xdr:rowOff>
    </xdr:to>
    <xdr:sp macro="" textlink="">
      <xdr:nvSpPr>
        <xdr:cNvPr id="316146" name="Rectangle 28"/>
        <xdr:cNvSpPr>
          <a:spLocks noChangeArrowheads="1"/>
        </xdr:cNvSpPr>
      </xdr:nvSpPr>
      <xdr:spPr bwMode="auto">
        <a:xfrm>
          <a:off x="76352400" y="4676775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103</xdr:col>
      <xdr:colOff>438150</xdr:colOff>
      <xdr:row>20</xdr:row>
      <xdr:rowOff>104775</xdr:rowOff>
    </xdr:from>
    <xdr:to>
      <xdr:col>104</xdr:col>
      <xdr:colOff>9525</xdr:colOff>
      <xdr:row>21</xdr:row>
      <xdr:rowOff>57150</xdr:rowOff>
    </xdr:to>
    <xdr:sp macro="" textlink="">
      <xdr:nvSpPr>
        <xdr:cNvPr id="316147" name="Rectangle 28"/>
        <xdr:cNvSpPr>
          <a:spLocks noChangeArrowheads="1"/>
        </xdr:cNvSpPr>
      </xdr:nvSpPr>
      <xdr:spPr bwMode="auto">
        <a:xfrm>
          <a:off x="76352400" y="4676775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103</xdr:col>
      <xdr:colOff>438150</xdr:colOff>
      <xdr:row>20</xdr:row>
      <xdr:rowOff>104775</xdr:rowOff>
    </xdr:from>
    <xdr:to>
      <xdr:col>104</xdr:col>
      <xdr:colOff>9525</xdr:colOff>
      <xdr:row>21</xdr:row>
      <xdr:rowOff>57150</xdr:rowOff>
    </xdr:to>
    <xdr:sp macro="" textlink="">
      <xdr:nvSpPr>
        <xdr:cNvPr id="316148" name="Rectangle 28"/>
        <xdr:cNvSpPr>
          <a:spLocks noChangeArrowheads="1"/>
        </xdr:cNvSpPr>
      </xdr:nvSpPr>
      <xdr:spPr bwMode="auto">
        <a:xfrm>
          <a:off x="76352400" y="4676775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103</xdr:col>
      <xdr:colOff>438150</xdr:colOff>
      <xdr:row>20</xdr:row>
      <xdr:rowOff>104775</xdr:rowOff>
    </xdr:from>
    <xdr:to>
      <xdr:col>104</xdr:col>
      <xdr:colOff>9525</xdr:colOff>
      <xdr:row>21</xdr:row>
      <xdr:rowOff>57150</xdr:rowOff>
    </xdr:to>
    <xdr:sp macro="" textlink="">
      <xdr:nvSpPr>
        <xdr:cNvPr id="316149" name="Rectangle 28"/>
        <xdr:cNvSpPr>
          <a:spLocks noChangeArrowheads="1"/>
        </xdr:cNvSpPr>
      </xdr:nvSpPr>
      <xdr:spPr bwMode="auto">
        <a:xfrm>
          <a:off x="76352400" y="4676775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103</xdr:col>
      <xdr:colOff>438150</xdr:colOff>
      <xdr:row>20</xdr:row>
      <xdr:rowOff>104775</xdr:rowOff>
    </xdr:from>
    <xdr:to>
      <xdr:col>104</xdr:col>
      <xdr:colOff>9525</xdr:colOff>
      <xdr:row>21</xdr:row>
      <xdr:rowOff>57150</xdr:rowOff>
    </xdr:to>
    <xdr:sp macro="" textlink="">
      <xdr:nvSpPr>
        <xdr:cNvPr id="316150" name="Rectangle 28"/>
        <xdr:cNvSpPr>
          <a:spLocks noChangeArrowheads="1"/>
        </xdr:cNvSpPr>
      </xdr:nvSpPr>
      <xdr:spPr bwMode="auto">
        <a:xfrm>
          <a:off x="76352400" y="4676775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103</xdr:col>
      <xdr:colOff>438150</xdr:colOff>
      <xdr:row>21</xdr:row>
      <xdr:rowOff>95250</xdr:rowOff>
    </xdr:from>
    <xdr:to>
      <xdr:col>104</xdr:col>
      <xdr:colOff>9525</xdr:colOff>
      <xdr:row>22</xdr:row>
      <xdr:rowOff>57150</xdr:rowOff>
    </xdr:to>
    <xdr:sp macro="" textlink="">
      <xdr:nvSpPr>
        <xdr:cNvPr id="316151" name="Rectangle 28"/>
        <xdr:cNvSpPr>
          <a:spLocks noChangeArrowheads="1"/>
        </xdr:cNvSpPr>
      </xdr:nvSpPr>
      <xdr:spPr bwMode="auto">
        <a:xfrm>
          <a:off x="76352400" y="4867275"/>
          <a:ext cx="190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103</xdr:col>
      <xdr:colOff>438150</xdr:colOff>
      <xdr:row>21</xdr:row>
      <xdr:rowOff>95250</xdr:rowOff>
    </xdr:from>
    <xdr:to>
      <xdr:col>104</xdr:col>
      <xdr:colOff>9525</xdr:colOff>
      <xdr:row>22</xdr:row>
      <xdr:rowOff>57150</xdr:rowOff>
    </xdr:to>
    <xdr:sp macro="" textlink="">
      <xdr:nvSpPr>
        <xdr:cNvPr id="316152" name="Rectangle 28"/>
        <xdr:cNvSpPr>
          <a:spLocks noChangeArrowheads="1"/>
        </xdr:cNvSpPr>
      </xdr:nvSpPr>
      <xdr:spPr bwMode="auto">
        <a:xfrm>
          <a:off x="76352400" y="4867275"/>
          <a:ext cx="190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103</xdr:col>
      <xdr:colOff>438150</xdr:colOff>
      <xdr:row>21</xdr:row>
      <xdr:rowOff>95250</xdr:rowOff>
    </xdr:from>
    <xdr:to>
      <xdr:col>104</xdr:col>
      <xdr:colOff>9525</xdr:colOff>
      <xdr:row>22</xdr:row>
      <xdr:rowOff>57150</xdr:rowOff>
    </xdr:to>
    <xdr:sp macro="" textlink="">
      <xdr:nvSpPr>
        <xdr:cNvPr id="316153" name="Rectangle 28"/>
        <xdr:cNvSpPr>
          <a:spLocks noChangeArrowheads="1"/>
        </xdr:cNvSpPr>
      </xdr:nvSpPr>
      <xdr:spPr bwMode="auto">
        <a:xfrm>
          <a:off x="76352400" y="4867275"/>
          <a:ext cx="190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103</xdr:col>
      <xdr:colOff>438150</xdr:colOff>
      <xdr:row>21</xdr:row>
      <xdr:rowOff>95250</xdr:rowOff>
    </xdr:from>
    <xdr:to>
      <xdr:col>104</xdr:col>
      <xdr:colOff>9525</xdr:colOff>
      <xdr:row>22</xdr:row>
      <xdr:rowOff>57150</xdr:rowOff>
    </xdr:to>
    <xdr:sp macro="" textlink="">
      <xdr:nvSpPr>
        <xdr:cNvPr id="316154" name="Rectangle 28"/>
        <xdr:cNvSpPr>
          <a:spLocks noChangeArrowheads="1"/>
        </xdr:cNvSpPr>
      </xdr:nvSpPr>
      <xdr:spPr bwMode="auto">
        <a:xfrm>
          <a:off x="76352400" y="4867275"/>
          <a:ext cx="190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103</xdr:col>
      <xdr:colOff>438150</xdr:colOff>
      <xdr:row>21</xdr:row>
      <xdr:rowOff>95250</xdr:rowOff>
    </xdr:from>
    <xdr:to>
      <xdr:col>104</xdr:col>
      <xdr:colOff>9525</xdr:colOff>
      <xdr:row>22</xdr:row>
      <xdr:rowOff>57150</xdr:rowOff>
    </xdr:to>
    <xdr:sp macro="" textlink="">
      <xdr:nvSpPr>
        <xdr:cNvPr id="316155" name="Rectangle 28"/>
        <xdr:cNvSpPr>
          <a:spLocks noChangeArrowheads="1"/>
        </xdr:cNvSpPr>
      </xdr:nvSpPr>
      <xdr:spPr bwMode="auto">
        <a:xfrm>
          <a:off x="76352400" y="4867275"/>
          <a:ext cx="190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103</xdr:col>
      <xdr:colOff>438150</xdr:colOff>
      <xdr:row>21</xdr:row>
      <xdr:rowOff>95250</xdr:rowOff>
    </xdr:from>
    <xdr:to>
      <xdr:col>104</xdr:col>
      <xdr:colOff>9525</xdr:colOff>
      <xdr:row>22</xdr:row>
      <xdr:rowOff>57150</xdr:rowOff>
    </xdr:to>
    <xdr:sp macro="" textlink="">
      <xdr:nvSpPr>
        <xdr:cNvPr id="316156" name="Rectangle 28"/>
        <xdr:cNvSpPr>
          <a:spLocks noChangeArrowheads="1"/>
        </xdr:cNvSpPr>
      </xdr:nvSpPr>
      <xdr:spPr bwMode="auto">
        <a:xfrm>
          <a:off x="76352400" y="4867275"/>
          <a:ext cx="190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103</xdr:col>
      <xdr:colOff>438150</xdr:colOff>
      <xdr:row>22</xdr:row>
      <xdr:rowOff>76200</xdr:rowOff>
    </xdr:from>
    <xdr:to>
      <xdr:col>104</xdr:col>
      <xdr:colOff>9525</xdr:colOff>
      <xdr:row>23</xdr:row>
      <xdr:rowOff>28575</xdr:rowOff>
    </xdr:to>
    <xdr:sp macro="" textlink="">
      <xdr:nvSpPr>
        <xdr:cNvPr id="316157" name="Rectangle 28"/>
        <xdr:cNvSpPr>
          <a:spLocks noChangeArrowheads="1"/>
        </xdr:cNvSpPr>
      </xdr:nvSpPr>
      <xdr:spPr bwMode="auto">
        <a:xfrm>
          <a:off x="76352400" y="5048250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103</xdr:col>
      <xdr:colOff>438150</xdr:colOff>
      <xdr:row>22</xdr:row>
      <xdr:rowOff>76200</xdr:rowOff>
    </xdr:from>
    <xdr:to>
      <xdr:col>104</xdr:col>
      <xdr:colOff>9525</xdr:colOff>
      <xdr:row>23</xdr:row>
      <xdr:rowOff>28575</xdr:rowOff>
    </xdr:to>
    <xdr:sp macro="" textlink="">
      <xdr:nvSpPr>
        <xdr:cNvPr id="316158" name="Rectangle 28"/>
        <xdr:cNvSpPr>
          <a:spLocks noChangeArrowheads="1"/>
        </xdr:cNvSpPr>
      </xdr:nvSpPr>
      <xdr:spPr bwMode="auto">
        <a:xfrm>
          <a:off x="76352400" y="5048250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103</xdr:col>
      <xdr:colOff>438150</xdr:colOff>
      <xdr:row>22</xdr:row>
      <xdr:rowOff>76200</xdr:rowOff>
    </xdr:from>
    <xdr:to>
      <xdr:col>104</xdr:col>
      <xdr:colOff>9525</xdr:colOff>
      <xdr:row>23</xdr:row>
      <xdr:rowOff>28575</xdr:rowOff>
    </xdr:to>
    <xdr:sp macro="" textlink="">
      <xdr:nvSpPr>
        <xdr:cNvPr id="316159" name="Rectangle 28"/>
        <xdr:cNvSpPr>
          <a:spLocks noChangeArrowheads="1"/>
        </xdr:cNvSpPr>
      </xdr:nvSpPr>
      <xdr:spPr bwMode="auto">
        <a:xfrm>
          <a:off x="76352400" y="5048250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103</xdr:col>
      <xdr:colOff>438150</xdr:colOff>
      <xdr:row>22</xdr:row>
      <xdr:rowOff>76200</xdr:rowOff>
    </xdr:from>
    <xdr:to>
      <xdr:col>104</xdr:col>
      <xdr:colOff>9525</xdr:colOff>
      <xdr:row>23</xdr:row>
      <xdr:rowOff>28575</xdr:rowOff>
    </xdr:to>
    <xdr:sp macro="" textlink="">
      <xdr:nvSpPr>
        <xdr:cNvPr id="316160" name="Rectangle 28"/>
        <xdr:cNvSpPr>
          <a:spLocks noChangeArrowheads="1"/>
        </xdr:cNvSpPr>
      </xdr:nvSpPr>
      <xdr:spPr bwMode="auto">
        <a:xfrm>
          <a:off x="76352400" y="5048250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103</xdr:col>
      <xdr:colOff>438150</xdr:colOff>
      <xdr:row>22</xdr:row>
      <xdr:rowOff>76200</xdr:rowOff>
    </xdr:from>
    <xdr:to>
      <xdr:col>104</xdr:col>
      <xdr:colOff>9525</xdr:colOff>
      <xdr:row>23</xdr:row>
      <xdr:rowOff>28575</xdr:rowOff>
    </xdr:to>
    <xdr:sp macro="" textlink="">
      <xdr:nvSpPr>
        <xdr:cNvPr id="316161" name="Rectangle 28"/>
        <xdr:cNvSpPr>
          <a:spLocks noChangeArrowheads="1"/>
        </xdr:cNvSpPr>
      </xdr:nvSpPr>
      <xdr:spPr bwMode="auto">
        <a:xfrm>
          <a:off x="76352400" y="5048250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103</xdr:col>
      <xdr:colOff>438150</xdr:colOff>
      <xdr:row>22</xdr:row>
      <xdr:rowOff>76200</xdr:rowOff>
    </xdr:from>
    <xdr:to>
      <xdr:col>104</xdr:col>
      <xdr:colOff>9525</xdr:colOff>
      <xdr:row>23</xdr:row>
      <xdr:rowOff>28575</xdr:rowOff>
    </xdr:to>
    <xdr:sp macro="" textlink="">
      <xdr:nvSpPr>
        <xdr:cNvPr id="316162" name="Rectangle 28"/>
        <xdr:cNvSpPr>
          <a:spLocks noChangeArrowheads="1"/>
        </xdr:cNvSpPr>
      </xdr:nvSpPr>
      <xdr:spPr bwMode="auto">
        <a:xfrm>
          <a:off x="76352400" y="5048250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103</xdr:col>
      <xdr:colOff>438150</xdr:colOff>
      <xdr:row>23</xdr:row>
      <xdr:rowOff>66675</xdr:rowOff>
    </xdr:from>
    <xdr:to>
      <xdr:col>104</xdr:col>
      <xdr:colOff>9525</xdr:colOff>
      <xdr:row>24</xdr:row>
      <xdr:rowOff>9525</xdr:rowOff>
    </xdr:to>
    <xdr:sp macro="" textlink="">
      <xdr:nvSpPr>
        <xdr:cNvPr id="316163" name="Rectangle 28"/>
        <xdr:cNvSpPr>
          <a:spLocks noChangeArrowheads="1"/>
        </xdr:cNvSpPr>
      </xdr:nvSpPr>
      <xdr:spPr bwMode="auto">
        <a:xfrm>
          <a:off x="76352400" y="5238750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103</xdr:col>
      <xdr:colOff>438150</xdr:colOff>
      <xdr:row>23</xdr:row>
      <xdr:rowOff>66675</xdr:rowOff>
    </xdr:from>
    <xdr:to>
      <xdr:col>104</xdr:col>
      <xdr:colOff>9525</xdr:colOff>
      <xdr:row>24</xdr:row>
      <xdr:rowOff>9525</xdr:rowOff>
    </xdr:to>
    <xdr:sp macro="" textlink="">
      <xdr:nvSpPr>
        <xdr:cNvPr id="316164" name="Rectangle 28"/>
        <xdr:cNvSpPr>
          <a:spLocks noChangeArrowheads="1"/>
        </xdr:cNvSpPr>
      </xdr:nvSpPr>
      <xdr:spPr bwMode="auto">
        <a:xfrm>
          <a:off x="76352400" y="5238750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103</xdr:col>
      <xdr:colOff>438150</xdr:colOff>
      <xdr:row>23</xdr:row>
      <xdr:rowOff>66675</xdr:rowOff>
    </xdr:from>
    <xdr:to>
      <xdr:col>104</xdr:col>
      <xdr:colOff>9525</xdr:colOff>
      <xdr:row>24</xdr:row>
      <xdr:rowOff>9525</xdr:rowOff>
    </xdr:to>
    <xdr:sp macro="" textlink="">
      <xdr:nvSpPr>
        <xdr:cNvPr id="316165" name="Rectangle 28"/>
        <xdr:cNvSpPr>
          <a:spLocks noChangeArrowheads="1"/>
        </xdr:cNvSpPr>
      </xdr:nvSpPr>
      <xdr:spPr bwMode="auto">
        <a:xfrm>
          <a:off x="76352400" y="5238750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103</xdr:col>
      <xdr:colOff>438150</xdr:colOff>
      <xdr:row>23</xdr:row>
      <xdr:rowOff>66675</xdr:rowOff>
    </xdr:from>
    <xdr:to>
      <xdr:col>104</xdr:col>
      <xdr:colOff>9525</xdr:colOff>
      <xdr:row>24</xdr:row>
      <xdr:rowOff>9525</xdr:rowOff>
    </xdr:to>
    <xdr:sp macro="" textlink="">
      <xdr:nvSpPr>
        <xdr:cNvPr id="316166" name="Rectangle 28"/>
        <xdr:cNvSpPr>
          <a:spLocks noChangeArrowheads="1"/>
        </xdr:cNvSpPr>
      </xdr:nvSpPr>
      <xdr:spPr bwMode="auto">
        <a:xfrm>
          <a:off x="76352400" y="5238750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103</xdr:col>
      <xdr:colOff>438150</xdr:colOff>
      <xdr:row>23</xdr:row>
      <xdr:rowOff>66675</xdr:rowOff>
    </xdr:from>
    <xdr:to>
      <xdr:col>104</xdr:col>
      <xdr:colOff>9525</xdr:colOff>
      <xdr:row>24</xdr:row>
      <xdr:rowOff>9525</xdr:rowOff>
    </xdr:to>
    <xdr:sp macro="" textlink="">
      <xdr:nvSpPr>
        <xdr:cNvPr id="316167" name="Rectangle 28"/>
        <xdr:cNvSpPr>
          <a:spLocks noChangeArrowheads="1"/>
        </xdr:cNvSpPr>
      </xdr:nvSpPr>
      <xdr:spPr bwMode="auto">
        <a:xfrm>
          <a:off x="76352400" y="5238750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103</xdr:col>
      <xdr:colOff>438150</xdr:colOff>
      <xdr:row>23</xdr:row>
      <xdr:rowOff>66675</xdr:rowOff>
    </xdr:from>
    <xdr:to>
      <xdr:col>104</xdr:col>
      <xdr:colOff>9525</xdr:colOff>
      <xdr:row>24</xdr:row>
      <xdr:rowOff>9525</xdr:rowOff>
    </xdr:to>
    <xdr:sp macro="" textlink="">
      <xdr:nvSpPr>
        <xdr:cNvPr id="316168" name="Rectangle 28"/>
        <xdr:cNvSpPr>
          <a:spLocks noChangeArrowheads="1"/>
        </xdr:cNvSpPr>
      </xdr:nvSpPr>
      <xdr:spPr bwMode="auto">
        <a:xfrm>
          <a:off x="76352400" y="5238750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103</xdr:col>
      <xdr:colOff>438150</xdr:colOff>
      <xdr:row>24</xdr:row>
      <xdr:rowOff>66675</xdr:rowOff>
    </xdr:from>
    <xdr:to>
      <xdr:col>104</xdr:col>
      <xdr:colOff>9525</xdr:colOff>
      <xdr:row>25</xdr:row>
      <xdr:rowOff>9525</xdr:rowOff>
    </xdr:to>
    <xdr:sp macro="" textlink="">
      <xdr:nvSpPr>
        <xdr:cNvPr id="316169" name="Rectangle 28"/>
        <xdr:cNvSpPr>
          <a:spLocks noChangeArrowheads="1"/>
        </xdr:cNvSpPr>
      </xdr:nvSpPr>
      <xdr:spPr bwMode="auto">
        <a:xfrm>
          <a:off x="76352400" y="5438775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103</xdr:col>
      <xdr:colOff>438150</xdr:colOff>
      <xdr:row>24</xdr:row>
      <xdr:rowOff>66675</xdr:rowOff>
    </xdr:from>
    <xdr:to>
      <xdr:col>104</xdr:col>
      <xdr:colOff>9525</xdr:colOff>
      <xdr:row>25</xdr:row>
      <xdr:rowOff>9525</xdr:rowOff>
    </xdr:to>
    <xdr:sp macro="" textlink="">
      <xdr:nvSpPr>
        <xdr:cNvPr id="316170" name="Rectangle 28"/>
        <xdr:cNvSpPr>
          <a:spLocks noChangeArrowheads="1"/>
        </xdr:cNvSpPr>
      </xdr:nvSpPr>
      <xdr:spPr bwMode="auto">
        <a:xfrm>
          <a:off x="76352400" y="5438775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103</xdr:col>
      <xdr:colOff>438150</xdr:colOff>
      <xdr:row>24</xdr:row>
      <xdr:rowOff>66675</xdr:rowOff>
    </xdr:from>
    <xdr:to>
      <xdr:col>104</xdr:col>
      <xdr:colOff>9525</xdr:colOff>
      <xdr:row>25</xdr:row>
      <xdr:rowOff>9525</xdr:rowOff>
    </xdr:to>
    <xdr:sp macro="" textlink="">
      <xdr:nvSpPr>
        <xdr:cNvPr id="316171" name="Rectangle 28"/>
        <xdr:cNvSpPr>
          <a:spLocks noChangeArrowheads="1"/>
        </xdr:cNvSpPr>
      </xdr:nvSpPr>
      <xdr:spPr bwMode="auto">
        <a:xfrm>
          <a:off x="76352400" y="5438775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103</xdr:col>
      <xdr:colOff>438150</xdr:colOff>
      <xdr:row>24</xdr:row>
      <xdr:rowOff>66675</xdr:rowOff>
    </xdr:from>
    <xdr:to>
      <xdr:col>104</xdr:col>
      <xdr:colOff>9525</xdr:colOff>
      <xdr:row>25</xdr:row>
      <xdr:rowOff>9525</xdr:rowOff>
    </xdr:to>
    <xdr:sp macro="" textlink="">
      <xdr:nvSpPr>
        <xdr:cNvPr id="316172" name="Rectangle 28"/>
        <xdr:cNvSpPr>
          <a:spLocks noChangeArrowheads="1"/>
        </xdr:cNvSpPr>
      </xdr:nvSpPr>
      <xdr:spPr bwMode="auto">
        <a:xfrm>
          <a:off x="76352400" y="5438775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103</xdr:col>
      <xdr:colOff>438150</xdr:colOff>
      <xdr:row>24</xdr:row>
      <xdr:rowOff>66675</xdr:rowOff>
    </xdr:from>
    <xdr:to>
      <xdr:col>104</xdr:col>
      <xdr:colOff>9525</xdr:colOff>
      <xdr:row>25</xdr:row>
      <xdr:rowOff>9525</xdr:rowOff>
    </xdr:to>
    <xdr:sp macro="" textlink="">
      <xdr:nvSpPr>
        <xdr:cNvPr id="316173" name="Rectangle 28"/>
        <xdr:cNvSpPr>
          <a:spLocks noChangeArrowheads="1"/>
        </xdr:cNvSpPr>
      </xdr:nvSpPr>
      <xdr:spPr bwMode="auto">
        <a:xfrm>
          <a:off x="76352400" y="5438775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103</xdr:col>
      <xdr:colOff>438150</xdr:colOff>
      <xdr:row>24</xdr:row>
      <xdr:rowOff>66675</xdr:rowOff>
    </xdr:from>
    <xdr:to>
      <xdr:col>104</xdr:col>
      <xdr:colOff>9525</xdr:colOff>
      <xdr:row>25</xdr:row>
      <xdr:rowOff>9525</xdr:rowOff>
    </xdr:to>
    <xdr:sp macro="" textlink="">
      <xdr:nvSpPr>
        <xdr:cNvPr id="316174" name="Rectangle 28"/>
        <xdr:cNvSpPr>
          <a:spLocks noChangeArrowheads="1"/>
        </xdr:cNvSpPr>
      </xdr:nvSpPr>
      <xdr:spPr bwMode="auto">
        <a:xfrm>
          <a:off x="76352400" y="5438775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103</xdr:col>
      <xdr:colOff>438150</xdr:colOff>
      <xdr:row>25</xdr:row>
      <xdr:rowOff>57150</xdr:rowOff>
    </xdr:from>
    <xdr:to>
      <xdr:col>104</xdr:col>
      <xdr:colOff>9525</xdr:colOff>
      <xdr:row>26</xdr:row>
      <xdr:rowOff>9525</xdr:rowOff>
    </xdr:to>
    <xdr:sp macro="" textlink="">
      <xdr:nvSpPr>
        <xdr:cNvPr id="316175" name="Rectangle 28"/>
        <xdr:cNvSpPr>
          <a:spLocks noChangeArrowheads="1"/>
        </xdr:cNvSpPr>
      </xdr:nvSpPr>
      <xdr:spPr bwMode="auto">
        <a:xfrm>
          <a:off x="76352400" y="5629275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103</xdr:col>
      <xdr:colOff>438150</xdr:colOff>
      <xdr:row>25</xdr:row>
      <xdr:rowOff>57150</xdr:rowOff>
    </xdr:from>
    <xdr:to>
      <xdr:col>104</xdr:col>
      <xdr:colOff>9525</xdr:colOff>
      <xdr:row>26</xdr:row>
      <xdr:rowOff>9525</xdr:rowOff>
    </xdr:to>
    <xdr:sp macro="" textlink="">
      <xdr:nvSpPr>
        <xdr:cNvPr id="316176" name="Rectangle 28"/>
        <xdr:cNvSpPr>
          <a:spLocks noChangeArrowheads="1"/>
        </xdr:cNvSpPr>
      </xdr:nvSpPr>
      <xdr:spPr bwMode="auto">
        <a:xfrm>
          <a:off x="76352400" y="5629275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103</xdr:col>
      <xdr:colOff>438150</xdr:colOff>
      <xdr:row>25</xdr:row>
      <xdr:rowOff>57150</xdr:rowOff>
    </xdr:from>
    <xdr:to>
      <xdr:col>104</xdr:col>
      <xdr:colOff>9525</xdr:colOff>
      <xdr:row>26</xdr:row>
      <xdr:rowOff>9525</xdr:rowOff>
    </xdr:to>
    <xdr:sp macro="" textlink="">
      <xdr:nvSpPr>
        <xdr:cNvPr id="316177" name="Rectangle 28"/>
        <xdr:cNvSpPr>
          <a:spLocks noChangeArrowheads="1"/>
        </xdr:cNvSpPr>
      </xdr:nvSpPr>
      <xdr:spPr bwMode="auto">
        <a:xfrm>
          <a:off x="76352400" y="5629275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103</xdr:col>
      <xdr:colOff>438150</xdr:colOff>
      <xdr:row>25</xdr:row>
      <xdr:rowOff>57150</xdr:rowOff>
    </xdr:from>
    <xdr:to>
      <xdr:col>104</xdr:col>
      <xdr:colOff>9525</xdr:colOff>
      <xdr:row>26</xdr:row>
      <xdr:rowOff>9525</xdr:rowOff>
    </xdr:to>
    <xdr:sp macro="" textlink="">
      <xdr:nvSpPr>
        <xdr:cNvPr id="316178" name="Rectangle 28"/>
        <xdr:cNvSpPr>
          <a:spLocks noChangeArrowheads="1"/>
        </xdr:cNvSpPr>
      </xdr:nvSpPr>
      <xdr:spPr bwMode="auto">
        <a:xfrm>
          <a:off x="76352400" y="5629275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103</xdr:col>
      <xdr:colOff>438150</xdr:colOff>
      <xdr:row>25</xdr:row>
      <xdr:rowOff>57150</xdr:rowOff>
    </xdr:from>
    <xdr:to>
      <xdr:col>104</xdr:col>
      <xdr:colOff>9525</xdr:colOff>
      <xdr:row>26</xdr:row>
      <xdr:rowOff>9525</xdr:rowOff>
    </xdr:to>
    <xdr:sp macro="" textlink="">
      <xdr:nvSpPr>
        <xdr:cNvPr id="316179" name="Rectangle 28"/>
        <xdr:cNvSpPr>
          <a:spLocks noChangeArrowheads="1"/>
        </xdr:cNvSpPr>
      </xdr:nvSpPr>
      <xdr:spPr bwMode="auto">
        <a:xfrm>
          <a:off x="76352400" y="5629275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103</xdr:col>
      <xdr:colOff>438150</xdr:colOff>
      <xdr:row>25</xdr:row>
      <xdr:rowOff>57150</xdr:rowOff>
    </xdr:from>
    <xdr:to>
      <xdr:col>104</xdr:col>
      <xdr:colOff>9525</xdr:colOff>
      <xdr:row>26</xdr:row>
      <xdr:rowOff>9525</xdr:rowOff>
    </xdr:to>
    <xdr:sp macro="" textlink="">
      <xdr:nvSpPr>
        <xdr:cNvPr id="316180" name="Rectangle 28"/>
        <xdr:cNvSpPr>
          <a:spLocks noChangeArrowheads="1"/>
        </xdr:cNvSpPr>
      </xdr:nvSpPr>
      <xdr:spPr bwMode="auto">
        <a:xfrm>
          <a:off x="76352400" y="5629275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103</xdr:col>
      <xdr:colOff>438150</xdr:colOff>
      <xdr:row>26</xdr:row>
      <xdr:rowOff>38100</xdr:rowOff>
    </xdr:from>
    <xdr:to>
      <xdr:col>104</xdr:col>
      <xdr:colOff>9525</xdr:colOff>
      <xdr:row>26</xdr:row>
      <xdr:rowOff>190500</xdr:rowOff>
    </xdr:to>
    <xdr:sp macro="" textlink="">
      <xdr:nvSpPr>
        <xdr:cNvPr id="316181" name="Rectangle 28"/>
        <xdr:cNvSpPr>
          <a:spLocks noChangeArrowheads="1"/>
        </xdr:cNvSpPr>
      </xdr:nvSpPr>
      <xdr:spPr bwMode="auto">
        <a:xfrm>
          <a:off x="76352400" y="5810250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103</xdr:col>
      <xdr:colOff>438150</xdr:colOff>
      <xdr:row>26</xdr:row>
      <xdr:rowOff>38100</xdr:rowOff>
    </xdr:from>
    <xdr:to>
      <xdr:col>104</xdr:col>
      <xdr:colOff>9525</xdr:colOff>
      <xdr:row>26</xdr:row>
      <xdr:rowOff>190500</xdr:rowOff>
    </xdr:to>
    <xdr:sp macro="" textlink="">
      <xdr:nvSpPr>
        <xdr:cNvPr id="316182" name="Rectangle 28"/>
        <xdr:cNvSpPr>
          <a:spLocks noChangeArrowheads="1"/>
        </xdr:cNvSpPr>
      </xdr:nvSpPr>
      <xdr:spPr bwMode="auto">
        <a:xfrm>
          <a:off x="76352400" y="5810250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103</xdr:col>
      <xdr:colOff>438150</xdr:colOff>
      <xdr:row>26</xdr:row>
      <xdr:rowOff>38100</xdr:rowOff>
    </xdr:from>
    <xdr:to>
      <xdr:col>104</xdr:col>
      <xdr:colOff>9525</xdr:colOff>
      <xdr:row>26</xdr:row>
      <xdr:rowOff>190500</xdr:rowOff>
    </xdr:to>
    <xdr:sp macro="" textlink="">
      <xdr:nvSpPr>
        <xdr:cNvPr id="316183" name="Rectangle 28"/>
        <xdr:cNvSpPr>
          <a:spLocks noChangeArrowheads="1"/>
        </xdr:cNvSpPr>
      </xdr:nvSpPr>
      <xdr:spPr bwMode="auto">
        <a:xfrm>
          <a:off x="76352400" y="5810250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103</xdr:col>
      <xdr:colOff>438150</xdr:colOff>
      <xdr:row>26</xdr:row>
      <xdr:rowOff>38100</xdr:rowOff>
    </xdr:from>
    <xdr:to>
      <xdr:col>104</xdr:col>
      <xdr:colOff>9525</xdr:colOff>
      <xdr:row>26</xdr:row>
      <xdr:rowOff>190500</xdr:rowOff>
    </xdr:to>
    <xdr:sp macro="" textlink="">
      <xdr:nvSpPr>
        <xdr:cNvPr id="316184" name="Rectangle 28"/>
        <xdr:cNvSpPr>
          <a:spLocks noChangeArrowheads="1"/>
        </xdr:cNvSpPr>
      </xdr:nvSpPr>
      <xdr:spPr bwMode="auto">
        <a:xfrm>
          <a:off x="76352400" y="5810250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103</xdr:col>
      <xdr:colOff>438150</xdr:colOff>
      <xdr:row>26</xdr:row>
      <xdr:rowOff>38100</xdr:rowOff>
    </xdr:from>
    <xdr:to>
      <xdr:col>104</xdr:col>
      <xdr:colOff>9525</xdr:colOff>
      <xdr:row>26</xdr:row>
      <xdr:rowOff>190500</xdr:rowOff>
    </xdr:to>
    <xdr:sp macro="" textlink="">
      <xdr:nvSpPr>
        <xdr:cNvPr id="316185" name="Rectangle 28"/>
        <xdr:cNvSpPr>
          <a:spLocks noChangeArrowheads="1"/>
        </xdr:cNvSpPr>
      </xdr:nvSpPr>
      <xdr:spPr bwMode="auto">
        <a:xfrm>
          <a:off x="76352400" y="5810250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103</xdr:col>
      <xdr:colOff>438150</xdr:colOff>
      <xdr:row>26</xdr:row>
      <xdr:rowOff>38100</xdr:rowOff>
    </xdr:from>
    <xdr:to>
      <xdr:col>104</xdr:col>
      <xdr:colOff>9525</xdr:colOff>
      <xdr:row>26</xdr:row>
      <xdr:rowOff>190500</xdr:rowOff>
    </xdr:to>
    <xdr:sp macro="" textlink="">
      <xdr:nvSpPr>
        <xdr:cNvPr id="316186" name="Rectangle 28"/>
        <xdr:cNvSpPr>
          <a:spLocks noChangeArrowheads="1"/>
        </xdr:cNvSpPr>
      </xdr:nvSpPr>
      <xdr:spPr bwMode="auto">
        <a:xfrm>
          <a:off x="76352400" y="5810250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103</xdr:col>
      <xdr:colOff>438150</xdr:colOff>
      <xdr:row>27</xdr:row>
      <xdr:rowOff>28575</xdr:rowOff>
    </xdr:from>
    <xdr:to>
      <xdr:col>104</xdr:col>
      <xdr:colOff>9525</xdr:colOff>
      <xdr:row>27</xdr:row>
      <xdr:rowOff>190500</xdr:rowOff>
    </xdr:to>
    <xdr:sp macro="" textlink="">
      <xdr:nvSpPr>
        <xdr:cNvPr id="316187" name="Rectangle 28"/>
        <xdr:cNvSpPr>
          <a:spLocks noChangeArrowheads="1"/>
        </xdr:cNvSpPr>
      </xdr:nvSpPr>
      <xdr:spPr bwMode="auto">
        <a:xfrm>
          <a:off x="76352400" y="6000750"/>
          <a:ext cx="190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103</xdr:col>
      <xdr:colOff>438150</xdr:colOff>
      <xdr:row>27</xdr:row>
      <xdr:rowOff>28575</xdr:rowOff>
    </xdr:from>
    <xdr:to>
      <xdr:col>104</xdr:col>
      <xdr:colOff>9525</xdr:colOff>
      <xdr:row>27</xdr:row>
      <xdr:rowOff>190500</xdr:rowOff>
    </xdr:to>
    <xdr:sp macro="" textlink="">
      <xdr:nvSpPr>
        <xdr:cNvPr id="316188" name="Rectangle 28"/>
        <xdr:cNvSpPr>
          <a:spLocks noChangeArrowheads="1"/>
        </xdr:cNvSpPr>
      </xdr:nvSpPr>
      <xdr:spPr bwMode="auto">
        <a:xfrm>
          <a:off x="76352400" y="6000750"/>
          <a:ext cx="190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103</xdr:col>
      <xdr:colOff>438150</xdr:colOff>
      <xdr:row>27</xdr:row>
      <xdr:rowOff>28575</xdr:rowOff>
    </xdr:from>
    <xdr:to>
      <xdr:col>104</xdr:col>
      <xdr:colOff>9525</xdr:colOff>
      <xdr:row>27</xdr:row>
      <xdr:rowOff>190500</xdr:rowOff>
    </xdr:to>
    <xdr:sp macro="" textlink="">
      <xdr:nvSpPr>
        <xdr:cNvPr id="316189" name="Rectangle 28"/>
        <xdr:cNvSpPr>
          <a:spLocks noChangeArrowheads="1"/>
        </xdr:cNvSpPr>
      </xdr:nvSpPr>
      <xdr:spPr bwMode="auto">
        <a:xfrm>
          <a:off x="76352400" y="6000750"/>
          <a:ext cx="190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103</xdr:col>
      <xdr:colOff>438150</xdr:colOff>
      <xdr:row>27</xdr:row>
      <xdr:rowOff>28575</xdr:rowOff>
    </xdr:from>
    <xdr:to>
      <xdr:col>104</xdr:col>
      <xdr:colOff>9525</xdr:colOff>
      <xdr:row>27</xdr:row>
      <xdr:rowOff>190500</xdr:rowOff>
    </xdr:to>
    <xdr:sp macro="" textlink="">
      <xdr:nvSpPr>
        <xdr:cNvPr id="316190" name="Rectangle 28"/>
        <xdr:cNvSpPr>
          <a:spLocks noChangeArrowheads="1"/>
        </xdr:cNvSpPr>
      </xdr:nvSpPr>
      <xdr:spPr bwMode="auto">
        <a:xfrm>
          <a:off x="76352400" y="6000750"/>
          <a:ext cx="190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103</xdr:col>
      <xdr:colOff>438150</xdr:colOff>
      <xdr:row>27</xdr:row>
      <xdr:rowOff>28575</xdr:rowOff>
    </xdr:from>
    <xdr:to>
      <xdr:col>104</xdr:col>
      <xdr:colOff>9525</xdr:colOff>
      <xdr:row>27</xdr:row>
      <xdr:rowOff>190500</xdr:rowOff>
    </xdr:to>
    <xdr:sp macro="" textlink="">
      <xdr:nvSpPr>
        <xdr:cNvPr id="316191" name="Rectangle 28"/>
        <xdr:cNvSpPr>
          <a:spLocks noChangeArrowheads="1"/>
        </xdr:cNvSpPr>
      </xdr:nvSpPr>
      <xdr:spPr bwMode="auto">
        <a:xfrm>
          <a:off x="76352400" y="6000750"/>
          <a:ext cx="190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103</xdr:col>
      <xdr:colOff>438150</xdr:colOff>
      <xdr:row>27</xdr:row>
      <xdr:rowOff>28575</xdr:rowOff>
    </xdr:from>
    <xdr:to>
      <xdr:col>104</xdr:col>
      <xdr:colOff>9525</xdr:colOff>
      <xdr:row>27</xdr:row>
      <xdr:rowOff>190500</xdr:rowOff>
    </xdr:to>
    <xdr:sp macro="" textlink="">
      <xdr:nvSpPr>
        <xdr:cNvPr id="316192" name="Rectangle 28"/>
        <xdr:cNvSpPr>
          <a:spLocks noChangeArrowheads="1"/>
        </xdr:cNvSpPr>
      </xdr:nvSpPr>
      <xdr:spPr bwMode="auto">
        <a:xfrm>
          <a:off x="76352400" y="6000750"/>
          <a:ext cx="190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103</xdr:col>
      <xdr:colOff>438150</xdr:colOff>
      <xdr:row>28</xdr:row>
      <xdr:rowOff>28575</xdr:rowOff>
    </xdr:from>
    <xdr:to>
      <xdr:col>104</xdr:col>
      <xdr:colOff>9525</xdr:colOff>
      <xdr:row>28</xdr:row>
      <xdr:rowOff>190500</xdr:rowOff>
    </xdr:to>
    <xdr:sp macro="" textlink="">
      <xdr:nvSpPr>
        <xdr:cNvPr id="316193" name="Rectangle 28"/>
        <xdr:cNvSpPr>
          <a:spLocks noChangeArrowheads="1"/>
        </xdr:cNvSpPr>
      </xdr:nvSpPr>
      <xdr:spPr bwMode="auto">
        <a:xfrm>
          <a:off x="76352400" y="6200775"/>
          <a:ext cx="190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103</xdr:col>
      <xdr:colOff>438150</xdr:colOff>
      <xdr:row>28</xdr:row>
      <xdr:rowOff>28575</xdr:rowOff>
    </xdr:from>
    <xdr:to>
      <xdr:col>104</xdr:col>
      <xdr:colOff>9525</xdr:colOff>
      <xdr:row>28</xdr:row>
      <xdr:rowOff>190500</xdr:rowOff>
    </xdr:to>
    <xdr:sp macro="" textlink="">
      <xdr:nvSpPr>
        <xdr:cNvPr id="316194" name="Rectangle 28"/>
        <xdr:cNvSpPr>
          <a:spLocks noChangeArrowheads="1"/>
        </xdr:cNvSpPr>
      </xdr:nvSpPr>
      <xdr:spPr bwMode="auto">
        <a:xfrm>
          <a:off x="76352400" y="6200775"/>
          <a:ext cx="190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103</xdr:col>
      <xdr:colOff>438150</xdr:colOff>
      <xdr:row>28</xdr:row>
      <xdr:rowOff>28575</xdr:rowOff>
    </xdr:from>
    <xdr:to>
      <xdr:col>104</xdr:col>
      <xdr:colOff>9525</xdr:colOff>
      <xdr:row>28</xdr:row>
      <xdr:rowOff>190500</xdr:rowOff>
    </xdr:to>
    <xdr:sp macro="" textlink="">
      <xdr:nvSpPr>
        <xdr:cNvPr id="316195" name="Rectangle 28"/>
        <xdr:cNvSpPr>
          <a:spLocks noChangeArrowheads="1"/>
        </xdr:cNvSpPr>
      </xdr:nvSpPr>
      <xdr:spPr bwMode="auto">
        <a:xfrm>
          <a:off x="76352400" y="6200775"/>
          <a:ext cx="190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103</xdr:col>
      <xdr:colOff>438150</xdr:colOff>
      <xdr:row>28</xdr:row>
      <xdr:rowOff>28575</xdr:rowOff>
    </xdr:from>
    <xdr:to>
      <xdr:col>104</xdr:col>
      <xdr:colOff>9525</xdr:colOff>
      <xdr:row>28</xdr:row>
      <xdr:rowOff>190500</xdr:rowOff>
    </xdr:to>
    <xdr:sp macro="" textlink="">
      <xdr:nvSpPr>
        <xdr:cNvPr id="316196" name="Rectangle 28"/>
        <xdr:cNvSpPr>
          <a:spLocks noChangeArrowheads="1"/>
        </xdr:cNvSpPr>
      </xdr:nvSpPr>
      <xdr:spPr bwMode="auto">
        <a:xfrm>
          <a:off x="76352400" y="6200775"/>
          <a:ext cx="190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103</xdr:col>
      <xdr:colOff>438150</xdr:colOff>
      <xdr:row>28</xdr:row>
      <xdr:rowOff>28575</xdr:rowOff>
    </xdr:from>
    <xdr:to>
      <xdr:col>104</xdr:col>
      <xdr:colOff>9525</xdr:colOff>
      <xdr:row>28</xdr:row>
      <xdr:rowOff>190500</xdr:rowOff>
    </xdr:to>
    <xdr:sp macro="" textlink="">
      <xdr:nvSpPr>
        <xdr:cNvPr id="316197" name="Rectangle 28"/>
        <xdr:cNvSpPr>
          <a:spLocks noChangeArrowheads="1"/>
        </xdr:cNvSpPr>
      </xdr:nvSpPr>
      <xdr:spPr bwMode="auto">
        <a:xfrm>
          <a:off x="76352400" y="6200775"/>
          <a:ext cx="190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103</xdr:col>
      <xdr:colOff>438150</xdr:colOff>
      <xdr:row>28</xdr:row>
      <xdr:rowOff>28575</xdr:rowOff>
    </xdr:from>
    <xdr:to>
      <xdr:col>104</xdr:col>
      <xdr:colOff>9525</xdr:colOff>
      <xdr:row>28</xdr:row>
      <xdr:rowOff>190500</xdr:rowOff>
    </xdr:to>
    <xdr:sp macro="" textlink="">
      <xdr:nvSpPr>
        <xdr:cNvPr id="316198" name="Rectangle 28"/>
        <xdr:cNvSpPr>
          <a:spLocks noChangeArrowheads="1"/>
        </xdr:cNvSpPr>
      </xdr:nvSpPr>
      <xdr:spPr bwMode="auto">
        <a:xfrm>
          <a:off x="76352400" y="6200775"/>
          <a:ext cx="190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103</xdr:col>
      <xdr:colOff>438150</xdr:colOff>
      <xdr:row>29</xdr:row>
      <xdr:rowOff>9525</xdr:rowOff>
    </xdr:from>
    <xdr:to>
      <xdr:col>104</xdr:col>
      <xdr:colOff>9525</xdr:colOff>
      <xdr:row>29</xdr:row>
      <xdr:rowOff>171450</xdr:rowOff>
    </xdr:to>
    <xdr:sp macro="" textlink="">
      <xdr:nvSpPr>
        <xdr:cNvPr id="316199" name="Rectangle 28"/>
        <xdr:cNvSpPr>
          <a:spLocks noChangeArrowheads="1"/>
        </xdr:cNvSpPr>
      </xdr:nvSpPr>
      <xdr:spPr bwMode="auto">
        <a:xfrm>
          <a:off x="76352400" y="6381750"/>
          <a:ext cx="190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103</xdr:col>
      <xdr:colOff>438150</xdr:colOff>
      <xdr:row>29</xdr:row>
      <xdr:rowOff>9525</xdr:rowOff>
    </xdr:from>
    <xdr:to>
      <xdr:col>104</xdr:col>
      <xdr:colOff>9525</xdr:colOff>
      <xdr:row>29</xdr:row>
      <xdr:rowOff>171450</xdr:rowOff>
    </xdr:to>
    <xdr:sp macro="" textlink="">
      <xdr:nvSpPr>
        <xdr:cNvPr id="316200" name="Rectangle 28"/>
        <xdr:cNvSpPr>
          <a:spLocks noChangeArrowheads="1"/>
        </xdr:cNvSpPr>
      </xdr:nvSpPr>
      <xdr:spPr bwMode="auto">
        <a:xfrm>
          <a:off x="76352400" y="6381750"/>
          <a:ext cx="190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103</xdr:col>
      <xdr:colOff>438150</xdr:colOff>
      <xdr:row>29</xdr:row>
      <xdr:rowOff>9525</xdr:rowOff>
    </xdr:from>
    <xdr:to>
      <xdr:col>104</xdr:col>
      <xdr:colOff>9525</xdr:colOff>
      <xdr:row>29</xdr:row>
      <xdr:rowOff>171450</xdr:rowOff>
    </xdr:to>
    <xdr:sp macro="" textlink="">
      <xdr:nvSpPr>
        <xdr:cNvPr id="316201" name="Rectangle 28"/>
        <xdr:cNvSpPr>
          <a:spLocks noChangeArrowheads="1"/>
        </xdr:cNvSpPr>
      </xdr:nvSpPr>
      <xdr:spPr bwMode="auto">
        <a:xfrm>
          <a:off x="76352400" y="6381750"/>
          <a:ext cx="190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103</xdr:col>
      <xdr:colOff>438150</xdr:colOff>
      <xdr:row>29</xdr:row>
      <xdr:rowOff>9525</xdr:rowOff>
    </xdr:from>
    <xdr:to>
      <xdr:col>104</xdr:col>
      <xdr:colOff>9525</xdr:colOff>
      <xdr:row>29</xdr:row>
      <xdr:rowOff>171450</xdr:rowOff>
    </xdr:to>
    <xdr:sp macro="" textlink="">
      <xdr:nvSpPr>
        <xdr:cNvPr id="316202" name="Rectangle 28"/>
        <xdr:cNvSpPr>
          <a:spLocks noChangeArrowheads="1"/>
        </xdr:cNvSpPr>
      </xdr:nvSpPr>
      <xdr:spPr bwMode="auto">
        <a:xfrm>
          <a:off x="76352400" y="6381750"/>
          <a:ext cx="190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103</xdr:col>
      <xdr:colOff>438150</xdr:colOff>
      <xdr:row>29</xdr:row>
      <xdr:rowOff>9525</xdr:rowOff>
    </xdr:from>
    <xdr:to>
      <xdr:col>104</xdr:col>
      <xdr:colOff>9525</xdr:colOff>
      <xdr:row>29</xdr:row>
      <xdr:rowOff>171450</xdr:rowOff>
    </xdr:to>
    <xdr:sp macro="" textlink="">
      <xdr:nvSpPr>
        <xdr:cNvPr id="316203" name="Rectangle 28"/>
        <xdr:cNvSpPr>
          <a:spLocks noChangeArrowheads="1"/>
        </xdr:cNvSpPr>
      </xdr:nvSpPr>
      <xdr:spPr bwMode="auto">
        <a:xfrm>
          <a:off x="76352400" y="6381750"/>
          <a:ext cx="190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103</xdr:col>
      <xdr:colOff>438150</xdr:colOff>
      <xdr:row>29</xdr:row>
      <xdr:rowOff>9525</xdr:rowOff>
    </xdr:from>
    <xdr:to>
      <xdr:col>104</xdr:col>
      <xdr:colOff>9525</xdr:colOff>
      <xdr:row>29</xdr:row>
      <xdr:rowOff>171450</xdr:rowOff>
    </xdr:to>
    <xdr:sp macro="" textlink="">
      <xdr:nvSpPr>
        <xdr:cNvPr id="316204" name="Rectangle 28"/>
        <xdr:cNvSpPr>
          <a:spLocks noChangeArrowheads="1"/>
        </xdr:cNvSpPr>
      </xdr:nvSpPr>
      <xdr:spPr bwMode="auto">
        <a:xfrm>
          <a:off x="76352400" y="6381750"/>
          <a:ext cx="190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103</xdr:col>
      <xdr:colOff>438150</xdr:colOff>
      <xdr:row>30</xdr:row>
      <xdr:rowOff>0</xdr:rowOff>
    </xdr:from>
    <xdr:to>
      <xdr:col>104</xdr:col>
      <xdr:colOff>9525</xdr:colOff>
      <xdr:row>30</xdr:row>
      <xdr:rowOff>142875</xdr:rowOff>
    </xdr:to>
    <xdr:sp macro="" textlink="">
      <xdr:nvSpPr>
        <xdr:cNvPr id="316205" name="Rectangle 28"/>
        <xdr:cNvSpPr>
          <a:spLocks noChangeArrowheads="1"/>
        </xdr:cNvSpPr>
      </xdr:nvSpPr>
      <xdr:spPr bwMode="auto">
        <a:xfrm>
          <a:off x="76352400" y="6572250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103</xdr:col>
      <xdr:colOff>438150</xdr:colOff>
      <xdr:row>30</xdr:row>
      <xdr:rowOff>0</xdr:rowOff>
    </xdr:from>
    <xdr:to>
      <xdr:col>104</xdr:col>
      <xdr:colOff>9525</xdr:colOff>
      <xdr:row>30</xdr:row>
      <xdr:rowOff>142875</xdr:rowOff>
    </xdr:to>
    <xdr:sp macro="" textlink="">
      <xdr:nvSpPr>
        <xdr:cNvPr id="316206" name="Rectangle 28"/>
        <xdr:cNvSpPr>
          <a:spLocks noChangeArrowheads="1"/>
        </xdr:cNvSpPr>
      </xdr:nvSpPr>
      <xdr:spPr bwMode="auto">
        <a:xfrm>
          <a:off x="76352400" y="6572250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103</xdr:col>
      <xdr:colOff>438150</xdr:colOff>
      <xdr:row>30</xdr:row>
      <xdr:rowOff>0</xdr:rowOff>
    </xdr:from>
    <xdr:to>
      <xdr:col>104</xdr:col>
      <xdr:colOff>9525</xdr:colOff>
      <xdr:row>30</xdr:row>
      <xdr:rowOff>142875</xdr:rowOff>
    </xdr:to>
    <xdr:sp macro="" textlink="">
      <xdr:nvSpPr>
        <xdr:cNvPr id="316207" name="Rectangle 28"/>
        <xdr:cNvSpPr>
          <a:spLocks noChangeArrowheads="1"/>
        </xdr:cNvSpPr>
      </xdr:nvSpPr>
      <xdr:spPr bwMode="auto">
        <a:xfrm>
          <a:off x="76352400" y="6572250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103</xdr:col>
      <xdr:colOff>438150</xdr:colOff>
      <xdr:row>30</xdr:row>
      <xdr:rowOff>0</xdr:rowOff>
    </xdr:from>
    <xdr:to>
      <xdr:col>104</xdr:col>
      <xdr:colOff>9525</xdr:colOff>
      <xdr:row>30</xdr:row>
      <xdr:rowOff>142875</xdr:rowOff>
    </xdr:to>
    <xdr:sp macro="" textlink="">
      <xdr:nvSpPr>
        <xdr:cNvPr id="316208" name="Rectangle 28"/>
        <xdr:cNvSpPr>
          <a:spLocks noChangeArrowheads="1"/>
        </xdr:cNvSpPr>
      </xdr:nvSpPr>
      <xdr:spPr bwMode="auto">
        <a:xfrm>
          <a:off x="76352400" y="6572250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103</xdr:col>
      <xdr:colOff>438150</xdr:colOff>
      <xdr:row>30</xdr:row>
      <xdr:rowOff>0</xdr:rowOff>
    </xdr:from>
    <xdr:to>
      <xdr:col>104</xdr:col>
      <xdr:colOff>9525</xdr:colOff>
      <xdr:row>30</xdr:row>
      <xdr:rowOff>142875</xdr:rowOff>
    </xdr:to>
    <xdr:sp macro="" textlink="">
      <xdr:nvSpPr>
        <xdr:cNvPr id="316209" name="Rectangle 28"/>
        <xdr:cNvSpPr>
          <a:spLocks noChangeArrowheads="1"/>
        </xdr:cNvSpPr>
      </xdr:nvSpPr>
      <xdr:spPr bwMode="auto">
        <a:xfrm>
          <a:off x="76352400" y="6572250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103</xdr:col>
      <xdr:colOff>438150</xdr:colOff>
      <xdr:row>30</xdr:row>
      <xdr:rowOff>0</xdr:rowOff>
    </xdr:from>
    <xdr:to>
      <xdr:col>104</xdr:col>
      <xdr:colOff>9525</xdr:colOff>
      <xdr:row>30</xdr:row>
      <xdr:rowOff>142875</xdr:rowOff>
    </xdr:to>
    <xdr:sp macro="" textlink="">
      <xdr:nvSpPr>
        <xdr:cNvPr id="316210" name="Rectangle 28"/>
        <xdr:cNvSpPr>
          <a:spLocks noChangeArrowheads="1"/>
        </xdr:cNvSpPr>
      </xdr:nvSpPr>
      <xdr:spPr bwMode="auto">
        <a:xfrm>
          <a:off x="76352400" y="6572250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103</xdr:col>
      <xdr:colOff>438150</xdr:colOff>
      <xdr:row>30</xdr:row>
      <xdr:rowOff>190500</xdr:rowOff>
    </xdr:from>
    <xdr:to>
      <xdr:col>104</xdr:col>
      <xdr:colOff>9525</xdr:colOff>
      <xdr:row>31</xdr:row>
      <xdr:rowOff>142875</xdr:rowOff>
    </xdr:to>
    <xdr:sp macro="" textlink="">
      <xdr:nvSpPr>
        <xdr:cNvPr id="316211" name="Rectangle 28"/>
        <xdr:cNvSpPr>
          <a:spLocks noChangeArrowheads="1"/>
        </xdr:cNvSpPr>
      </xdr:nvSpPr>
      <xdr:spPr bwMode="auto">
        <a:xfrm>
          <a:off x="76352400" y="6762750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103</xdr:col>
      <xdr:colOff>438150</xdr:colOff>
      <xdr:row>30</xdr:row>
      <xdr:rowOff>190500</xdr:rowOff>
    </xdr:from>
    <xdr:to>
      <xdr:col>104</xdr:col>
      <xdr:colOff>9525</xdr:colOff>
      <xdr:row>31</xdr:row>
      <xdr:rowOff>142875</xdr:rowOff>
    </xdr:to>
    <xdr:sp macro="" textlink="">
      <xdr:nvSpPr>
        <xdr:cNvPr id="316212" name="Rectangle 28"/>
        <xdr:cNvSpPr>
          <a:spLocks noChangeArrowheads="1"/>
        </xdr:cNvSpPr>
      </xdr:nvSpPr>
      <xdr:spPr bwMode="auto">
        <a:xfrm>
          <a:off x="76352400" y="6762750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103</xdr:col>
      <xdr:colOff>438150</xdr:colOff>
      <xdr:row>30</xdr:row>
      <xdr:rowOff>190500</xdr:rowOff>
    </xdr:from>
    <xdr:to>
      <xdr:col>104</xdr:col>
      <xdr:colOff>9525</xdr:colOff>
      <xdr:row>31</xdr:row>
      <xdr:rowOff>142875</xdr:rowOff>
    </xdr:to>
    <xdr:sp macro="" textlink="">
      <xdr:nvSpPr>
        <xdr:cNvPr id="316213" name="Rectangle 28"/>
        <xdr:cNvSpPr>
          <a:spLocks noChangeArrowheads="1"/>
        </xdr:cNvSpPr>
      </xdr:nvSpPr>
      <xdr:spPr bwMode="auto">
        <a:xfrm>
          <a:off x="76352400" y="6762750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103</xdr:col>
      <xdr:colOff>438150</xdr:colOff>
      <xdr:row>30</xdr:row>
      <xdr:rowOff>190500</xdr:rowOff>
    </xdr:from>
    <xdr:to>
      <xdr:col>104</xdr:col>
      <xdr:colOff>9525</xdr:colOff>
      <xdr:row>31</xdr:row>
      <xdr:rowOff>142875</xdr:rowOff>
    </xdr:to>
    <xdr:sp macro="" textlink="">
      <xdr:nvSpPr>
        <xdr:cNvPr id="316214" name="Rectangle 28"/>
        <xdr:cNvSpPr>
          <a:spLocks noChangeArrowheads="1"/>
        </xdr:cNvSpPr>
      </xdr:nvSpPr>
      <xdr:spPr bwMode="auto">
        <a:xfrm>
          <a:off x="76352400" y="6762750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103</xdr:col>
      <xdr:colOff>438150</xdr:colOff>
      <xdr:row>30</xdr:row>
      <xdr:rowOff>190500</xdr:rowOff>
    </xdr:from>
    <xdr:to>
      <xdr:col>104</xdr:col>
      <xdr:colOff>9525</xdr:colOff>
      <xdr:row>31</xdr:row>
      <xdr:rowOff>142875</xdr:rowOff>
    </xdr:to>
    <xdr:sp macro="" textlink="">
      <xdr:nvSpPr>
        <xdr:cNvPr id="316215" name="Rectangle 28"/>
        <xdr:cNvSpPr>
          <a:spLocks noChangeArrowheads="1"/>
        </xdr:cNvSpPr>
      </xdr:nvSpPr>
      <xdr:spPr bwMode="auto">
        <a:xfrm>
          <a:off x="76352400" y="6762750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103</xdr:col>
      <xdr:colOff>438150</xdr:colOff>
      <xdr:row>30</xdr:row>
      <xdr:rowOff>190500</xdr:rowOff>
    </xdr:from>
    <xdr:to>
      <xdr:col>104</xdr:col>
      <xdr:colOff>9525</xdr:colOff>
      <xdr:row>31</xdr:row>
      <xdr:rowOff>142875</xdr:rowOff>
    </xdr:to>
    <xdr:sp macro="" textlink="">
      <xdr:nvSpPr>
        <xdr:cNvPr id="316216" name="Rectangle 28"/>
        <xdr:cNvSpPr>
          <a:spLocks noChangeArrowheads="1"/>
        </xdr:cNvSpPr>
      </xdr:nvSpPr>
      <xdr:spPr bwMode="auto">
        <a:xfrm>
          <a:off x="76352400" y="6762750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103</xdr:col>
      <xdr:colOff>438150</xdr:colOff>
      <xdr:row>31</xdr:row>
      <xdr:rowOff>190500</xdr:rowOff>
    </xdr:from>
    <xdr:to>
      <xdr:col>104</xdr:col>
      <xdr:colOff>9525</xdr:colOff>
      <xdr:row>32</xdr:row>
      <xdr:rowOff>142875</xdr:rowOff>
    </xdr:to>
    <xdr:sp macro="" textlink="">
      <xdr:nvSpPr>
        <xdr:cNvPr id="316217" name="Rectangle 28"/>
        <xdr:cNvSpPr>
          <a:spLocks noChangeArrowheads="1"/>
        </xdr:cNvSpPr>
      </xdr:nvSpPr>
      <xdr:spPr bwMode="auto">
        <a:xfrm>
          <a:off x="76352400" y="6962775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103</xdr:col>
      <xdr:colOff>438150</xdr:colOff>
      <xdr:row>31</xdr:row>
      <xdr:rowOff>190500</xdr:rowOff>
    </xdr:from>
    <xdr:to>
      <xdr:col>104</xdr:col>
      <xdr:colOff>9525</xdr:colOff>
      <xdr:row>32</xdr:row>
      <xdr:rowOff>142875</xdr:rowOff>
    </xdr:to>
    <xdr:sp macro="" textlink="">
      <xdr:nvSpPr>
        <xdr:cNvPr id="316218" name="Rectangle 28"/>
        <xdr:cNvSpPr>
          <a:spLocks noChangeArrowheads="1"/>
        </xdr:cNvSpPr>
      </xdr:nvSpPr>
      <xdr:spPr bwMode="auto">
        <a:xfrm>
          <a:off x="76352400" y="6962775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103</xdr:col>
      <xdr:colOff>438150</xdr:colOff>
      <xdr:row>31</xdr:row>
      <xdr:rowOff>190500</xdr:rowOff>
    </xdr:from>
    <xdr:to>
      <xdr:col>104</xdr:col>
      <xdr:colOff>9525</xdr:colOff>
      <xdr:row>32</xdr:row>
      <xdr:rowOff>142875</xdr:rowOff>
    </xdr:to>
    <xdr:sp macro="" textlink="">
      <xdr:nvSpPr>
        <xdr:cNvPr id="316219" name="Rectangle 28"/>
        <xdr:cNvSpPr>
          <a:spLocks noChangeArrowheads="1"/>
        </xdr:cNvSpPr>
      </xdr:nvSpPr>
      <xdr:spPr bwMode="auto">
        <a:xfrm>
          <a:off x="76352400" y="6962775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103</xdr:col>
      <xdr:colOff>438150</xdr:colOff>
      <xdr:row>31</xdr:row>
      <xdr:rowOff>190500</xdr:rowOff>
    </xdr:from>
    <xdr:to>
      <xdr:col>104</xdr:col>
      <xdr:colOff>9525</xdr:colOff>
      <xdr:row>32</xdr:row>
      <xdr:rowOff>142875</xdr:rowOff>
    </xdr:to>
    <xdr:sp macro="" textlink="">
      <xdr:nvSpPr>
        <xdr:cNvPr id="316220" name="Rectangle 28"/>
        <xdr:cNvSpPr>
          <a:spLocks noChangeArrowheads="1"/>
        </xdr:cNvSpPr>
      </xdr:nvSpPr>
      <xdr:spPr bwMode="auto">
        <a:xfrm>
          <a:off x="76352400" y="6962775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103</xdr:col>
      <xdr:colOff>438150</xdr:colOff>
      <xdr:row>31</xdr:row>
      <xdr:rowOff>190500</xdr:rowOff>
    </xdr:from>
    <xdr:to>
      <xdr:col>104</xdr:col>
      <xdr:colOff>9525</xdr:colOff>
      <xdr:row>32</xdr:row>
      <xdr:rowOff>142875</xdr:rowOff>
    </xdr:to>
    <xdr:sp macro="" textlink="">
      <xdr:nvSpPr>
        <xdr:cNvPr id="316221" name="Rectangle 28"/>
        <xdr:cNvSpPr>
          <a:spLocks noChangeArrowheads="1"/>
        </xdr:cNvSpPr>
      </xdr:nvSpPr>
      <xdr:spPr bwMode="auto">
        <a:xfrm>
          <a:off x="76352400" y="6962775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103</xdr:col>
      <xdr:colOff>438150</xdr:colOff>
      <xdr:row>31</xdr:row>
      <xdr:rowOff>190500</xdr:rowOff>
    </xdr:from>
    <xdr:to>
      <xdr:col>104</xdr:col>
      <xdr:colOff>9525</xdr:colOff>
      <xdr:row>32</xdr:row>
      <xdr:rowOff>142875</xdr:rowOff>
    </xdr:to>
    <xdr:sp macro="" textlink="">
      <xdr:nvSpPr>
        <xdr:cNvPr id="316222" name="Rectangle 28"/>
        <xdr:cNvSpPr>
          <a:spLocks noChangeArrowheads="1"/>
        </xdr:cNvSpPr>
      </xdr:nvSpPr>
      <xdr:spPr bwMode="auto">
        <a:xfrm>
          <a:off x="76352400" y="6962775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103</xdr:col>
      <xdr:colOff>438150</xdr:colOff>
      <xdr:row>32</xdr:row>
      <xdr:rowOff>190500</xdr:rowOff>
    </xdr:from>
    <xdr:to>
      <xdr:col>104</xdr:col>
      <xdr:colOff>9525</xdr:colOff>
      <xdr:row>33</xdr:row>
      <xdr:rowOff>133350</xdr:rowOff>
    </xdr:to>
    <xdr:sp macro="" textlink="">
      <xdr:nvSpPr>
        <xdr:cNvPr id="316223" name="Rectangle 28"/>
        <xdr:cNvSpPr>
          <a:spLocks noChangeArrowheads="1"/>
        </xdr:cNvSpPr>
      </xdr:nvSpPr>
      <xdr:spPr bwMode="auto">
        <a:xfrm>
          <a:off x="76352400" y="7162800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103</xdr:col>
      <xdr:colOff>438150</xdr:colOff>
      <xdr:row>32</xdr:row>
      <xdr:rowOff>190500</xdr:rowOff>
    </xdr:from>
    <xdr:to>
      <xdr:col>104</xdr:col>
      <xdr:colOff>9525</xdr:colOff>
      <xdr:row>33</xdr:row>
      <xdr:rowOff>133350</xdr:rowOff>
    </xdr:to>
    <xdr:sp macro="" textlink="">
      <xdr:nvSpPr>
        <xdr:cNvPr id="316224" name="Rectangle 28"/>
        <xdr:cNvSpPr>
          <a:spLocks noChangeArrowheads="1"/>
        </xdr:cNvSpPr>
      </xdr:nvSpPr>
      <xdr:spPr bwMode="auto">
        <a:xfrm>
          <a:off x="76352400" y="7162800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103</xdr:col>
      <xdr:colOff>438150</xdr:colOff>
      <xdr:row>32</xdr:row>
      <xdr:rowOff>190500</xdr:rowOff>
    </xdr:from>
    <xdr:to>
      <xdr:col>104</xdr:col>
      <xdr:colOff>9525</xdr:colOff>
      <xdr:row>33</xdr:row>
      <xdr:rowOff>133350</xdr:rowOff>
    </xdr:to>
    <xdr:sp macro="" textlink="">
      <xdr:nvSpPr>
        <xdr:cNvPr id="316225" name="Rectangle 28"/>
        <xdr:cNvSpPr>
          <a:spLocks noChangeArrowheads="1"/>
        </xdr:cNvSpPr>
      </xdr:nvSpPr>
      <xdr:spPr bwMode="auto">
        <a:xfrm>
          <a:off x="76352400" y="7162800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103</xdr:col>
      <xdr:colOff>438150</xdr:colOff>
      <xdr:row>32</xdr:row>
      <xdr:rowOff>190500</xdr:rowOff>
    </xdr:from>
    <xdr:to>
      <xdr:col>104</xdr:col>
      <xdr:colOff>9525</xdr:colOff>
      <xdr:row>33</xdr:row>
      <xdr:rowOff>133350</xdr:rowOff>
    </xdr:to>
    <xdr:sp macro="" textlink="">
      <xdr:nvSpPr>
        <xdr:cNvPr id="316226" name="Rectangle 28"/>
        <xdr:cNvSpPr>
          <a:spLocks noChangeArrowheads="1"/>
        </xdr:cNvSpPr>
      </xdr:nvSpPr>
      <xdr:spPr bwMode="auto">
        <a:xfrm>
          <a:off x="76352400" y="7162800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103</xdr:col>
      <xdr:colOff>438150</xdr:colOff>
      <xdr:row>32</xdr:row>
      <xdr:rowOff>190500</xdr:rowOff>
    </xdr:from>
    <xdr:to>
      <xdr:col>104</xdr:col>
      <xdr:colOff>9525</xdr:colOff>
      <xdr:row>33</xdr:row>
      <xdr:rowOff>133350</xdr:rowOff>
    </xdr:to>
    <xdr:sp macro="" textlink="">
      <xdr:nvSpPr>
        <xdr:cNvPr id="316227" name="Rectangle 28"/>
        <xdr:cNvSpPr>
          <a:spLocks noChangeArrowheads="1"/>
        </xdr:cNvSpPr>
      </xdr:nvSpPr>
      <xdr:spPr bwMode="auto">
        <a:xfrm>
          <a:off x="76352400" y="7162800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103</xdr:col>
      <xdr:colOff>438150</xdr:colOff>
      <xdr:row>32</xdr:row>
      <xdr:rowOff>190500</xdr:rowOff>
    </xdr:from>
    <xdr:to>
      <xdr:col>104</xdr:col>
      <xdr:colOff>9525</xdr:colOff>
      <xdr:row>33</xdr:row>
      <xdr:rowOff>133350</xdr:rowOff>
    </xdr:to>
    <xdr:sp macro="" textlink="">
      <xdr:nvSpPr>
        <xdr:cNvPr id="316228" name="Rectangle 28"/>
        <xdr:cNvSpPr>
          <a:spLocks noChangeArrowheads="1"/>
        </xdr:cNvSpPr>
      </xdr:nvSpPr>
      <xdr:spPr bwMode="auto">
        <a:xfrm>
          <a:off x="76352400" y="7162800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103</xdr:col>
      <xdr:colOff>438150</xdr:colOff>
      <xdr:row>33</xdr:row>
      <xdr:rowOff>161925</xdr:rowOff>
    </xdr:from>
    <xdr:to>
      <xdr:col>104</xdr:col>
      <xdr:colOff>9525</xdr:colOff>
      <xdr:row>34</xdr:row>
      <xdr:rowOff>123825</xdr:rowOff>
    </xdr:to>
    <xdr:sp macro="" textlink="">
      <xdr:nvSpPr>
        <xdr:cNvPr id="316229" name="Rectangle 28"/>
        <xdr:cNvSpPr>
          <a:spLocks noChangeArrowheads="1"/>
        </xdr:cNvSpPr>
      </xdr:nvSpPr>
      <xdr:spPr bwMode="auto">
        <a:xfrm>
          <a:off x="76352400" y="7334250"/>
          <a:ext cx="190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103</xdr:col>
      <xdr:colOff>438150</xdr:colOff>
      <xdr:row>33</xdr:row>
      <xdr:rowOff>161925</xdr:rowOff>
    </xdr:from>
    <xdr:to>
      <xdr:col>104</xdr:col>
      <xdr:colOff>9525</xdr:colOff>
      <xdr:row>34</xdr:row>
      <xdr:rowOff>123825</xdr:rowOff>
    </xdr:to>
    <xdr:sp macro="" textlink="">
      <xdr:nvSpPr>
        <xdr:cNvPr id="316230" name="Rectangle 28"/>
        <xdr:cNvSpPr>
          <a:spLocks noChangeArrowheads="1"/>
        </xdr:cNvSpPr>
      </xdr:nvSpPr>
      <xdr:spPr bwMode="auto">
        <a:xfrm>
          <a:off x="76352400" y="7334250"/>
          <a:ext cx="190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103</xdr:col>
      <xdr:colOff>438150</xdr:colOff>
      <xdr:row>33</xdr:row>
      <xdr:rowOff>161925</xdr:rowOff>
    </xdr:from>
    <xdr:to>
      <xdr:col>104</xdr:col>
      <xdr:colOff>9525</xdr:colOff>
      <xdr:row>34</xdr:row>
      <xdr:rowOff>123825</xdr:rowOff>
    </xdr:to>
    <xdr:sp macro="" textlink="">
      <xdr:nvSpPr>
        <xdr:cNvPr id="316231" name="Rectangle 28"/>
        <xdr:cNvSpPr>
          <a:spLocks noChangeArrowheads="1"/>
        </xdr:cNvSpPr>
      </xdr:nvSpPr>
      <xdr:spPr bwMode="auto">
        <a:xfrm>
          <a:off x="76352400" y="7334250"/>
          <a:ext cx="190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103</xdr:col>
      <xdr:colOff>438150</xdr:colOff>
      <xdr:row>33</xdr:row>
      <xdr:rowOff>161925</xdr:rowOff>
    </xdr:from>
    <xdr:to>
      <xdr:col>104</xdr:col>
      <xdr:colOff>9525</xdr:colOff>
      <xdr:row>34</xdr:row>
      <xdr:rowOff>123825</xdr:rowOff>
    </xdr:to>
    <xdr:sp macro="" textlink="">
      <xdr:nvSpPr>
        <xdr:cNvPr id="316232" name="Rectangle 28"/>
        <xdr:cNvSpPr>
          <a:spLocks noChangeArrowheads="1"/>
        </xdr:cNvSpPr>
      </xdr:nvSpPr>
      <xdr:spPr bwMode="auto">
        <a:xfrm>
          <a:off x="76352400" y="7334250"/>
          <a:ext cx="190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103</xdr:col>
      <xdr:colOff>438150</xdr:colOff>
      <xdr:row>33</xdr:row>
      <xdr:rowOff>161925</xdr:rowOff>
    </xdr:from>
    <xdr:to>
      <xdr:col>104</xdr:col>
      <xdr:colOff>9525</xdr:colOff>
      <xdr:row>34</xdr:row>
      <xdr:rowOff>123825</xdr:rowOff>
    </xdr:to>
    <xdr:sp macro="" textlink="">
      <xdr:nvSpPr>
        <xdr:cNvPr id="316233" name="Rectangle 28"/>
        <xdr:cNvSpPr>
          <a:spLocks noChangeArrowheads="1"/>
        </xdr:cNvSpPr>
      </xdr:nvSpPr>
      <xdr:spPr bwMode="auto">
        <a:xfrm>
          <a:off x="76352400" y="7334250"/>
          <a:ext cx="190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103</xdr:col>
      <xdr:colOff>438150</xdr:colOff>
      <xdr:row>33</xdr:row>
      <xdr:rowOff>161925</xdr:rowOff>
    </xdr:from>
    <xdr:to>
      <xdr:col>104</xdr:col>
      <xdr:colOff>9525</xdr:colOff>
      <xdr:row>34</xdr:row>
      <xdr:rowOff>123825</xdr:rowOff>
    </xdr:to>
    <xdr:sp macro="" textlink="">
      <xdr:nvSpPr>
        <xdr:cNvPr id="316234" name="Rectangle 28"/>
        <xdr:cNvSpPr>
          <a:spLocks noChangeArrowheads="1"/>
        </xdr:cNvSpPr>
      </xdr:nvSpPr>
      <xdr:spPr bwMode="auto">
        <a:xfrm>
          <a:off x="76352400" y="7334250"/>
          <a:ext cx="190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103</xdr:col>
      <xdr:colOff>438150</xdr:colOff>
      <xdr:row>34</xdr:row>
      <xdr:rowOff>142875</xdr:rowOff>
    </xdr:from>
    <xdr:to>
      <xdr:col>104</xdr:col>
      <xdr:colOff>9525</xdr:colOff>
      <xdr:row>35</xdr:row>
      <xdr:rowOff>104775</xdr:rowOff>
    </xdr:to>
    <xdr:sp macro="" textlink="">
      <xdr:nvSpPr>
        <xdr:cNvPr id="316235" name="Rectangle 28"/>
        <xdr:cNvSpPr>
          <a:spLocks noChangeArrowheads="1"/>
        </xdr:cNvSpPr>
      </xdr:nvSpPr>
      <xdr:spPr bwMode="auto">
        <a:xfrm>
          <a:off x="76352400" y="7515225"/>
          <a:ext cx="190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103</xdr:col>
      <xdr:colOff>438150</xdr:colOff>
      <xdr:row>34</xdr:row>
      <xdr:rowOff>142875</xdr:rowOff>
    </xdr:from>
    <xdr:to>
      <xdr:col>104</xdr:col>
      <xdr:colOff>9525</xdr:colOff>
      <xdr:row>35</xdr:row>
      <xdr:rowOff>104775</xdr:rowOff>
    </xdr:to>
    <xdr:sp macro="" textlink="">
      <xdr:nvSpPr>
        <xdr:cNvPr id="316236" name="Rectangle 28"/>
        <xdr:cNvSpPr>
          <a:spLocks noChangeArrowheads="1"/>
        </xdr:cNvSpPr>
      </xdr:nvSpPr>
      <xdr:spPr bwMode="auto">
        <a:xfrm>
          <a:off x="76352400" y="7515225"/>
          <a:ext cx="190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103</xdr:col>
      <xdr:colOff>438150</xdr:colOff>
      <xdr:row>34</xdr:row>
      <xdr:rowOff>142875</xdr:rowOff>
    </xdr:from>
    <xdr:to>
      <xdr:col>104</xdr:col>
      <xdr:colOff>9525</xdr:colOff>
      <xdr:row>35</xdr:row>
      <xdr:rowOff>104775</xdr:rowOff>
    </xdr:to>
    <xdr:sp macro="" textlink="">
      <xdr:nvSpPr>
        <xdr:cNvPr id="316237" name="Rectangle 28"/>
        <xdr:cNvSpPr>
          <a:spLocks noChangeArrowheads="1"/>
        </xdr:cNvSpPr>
      </xdr:nvSpPr>
      <xdr:spPr bwMode="auto">
        <a:xfrm>
          <a:off x="76352400" y="7515225"/>
          <a:ext cx="190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103</xdr:col>
      <xdr:colOff>438150</xdr:colOff>
      <xdr:row>34</xdr:row>
      <xdr:rowOff>142875</xdr:rowOff>
    </xdr:from>
    <xdr:to>
      <xdr:col>104</xdr:col>
      <xdr:colOff>9525</xdr:colOff>
      <xdr:row>35</xdr:row>
      <xdr:rowOff>104775</xdr:rowOff>
    </xdr:to>
    <xdr:sp macro="" textlink="">
      <xdr:nvSpPr>
        <xdr:cNvPr id="316238" name="Rectangle 28"/>
        <xdr:cNvSpPr>
          <a:spLocks noChangeArrowheads="1"/>
        </xdr:cNvSpPr>
      </xdr:nvSpPr>
      <xdr:spPr bwMode="auto">
        <a:xfrm>
          <a:off x="76352400" y="7515225"/>
          <a:ext cx="190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103</xdr:col>
      <xdr:colOff>438150</xdr:colOff>
      <xdr:row>34</xdr:row>
      <xdr:rowOff>142875</xdr:rowOff>
    </xdr:from>
    <xdr:to>
      <xdr:col>104</xdr:col>
      <xdr:colOff>9525</xdr:colOff>
      <xdr:row>35</xdr:row>
      <xdr:rowOff>104775</xdr:rowOff>
    </xdr:to>
    <xdr:sp macro="" textlink="">
      <xdr:nvSpPr>
        <xdr:cNvPr id="316239" name="Rectangle 28"/>
        <xdr:cNvSpPr>
          <a:spLocks noChangeArrowheads="1"/>
        </xdr:cNvSpPr>
      </xdr:nvSpPr>
      <xdr:spPr bwMode="auto">
        <a:xfrm>
          <a:off x="76352400" y="7515225"/>
          <a:ext cx="190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103</xdr:col>
      <xdr:colOff>438150</xdr:colOff>
      <xdr:row>34</xdr:row>
      <xdr:rowOff>142875</xdr:rowOff>
    </xdr:from>
    <xdr:to>
      <xdr:col>104</xdr:col>
      <xdr:colOff>9525</xdr:colOff>
      <xdr:row>35</xdr:row>
      <xdr:rowOff>104775</xdr:rowOff>
    </xdr:to>
    <xdr:sp macro="" textlink="">
      <xdr:nvSpPr>
        <xdr:cNvPr id="316240" name="Rectangle 28"/>
        <xdr:cNvSpPr>
          <a:spLocks noChangeArrowheads="1"/>
        </xdr:cNvSpPr>
      </xdr:nvSpPr>
      <xdr:spPr bwMode="auto">
        <a:xfrm>
          <a:off x="76352400" y="7515225"/>
          <a:ext cx="190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103</xdr:col>
      <xdr:colOff>438150</xdr:colOff>
      <xdr:row>35</xdr:row>
      <xdr:rowOff>142875</xdr:rowOff>
    </xdr:from>
    <xdr:to>
      <xdr:col>104</xdr:col>
      <xdr:colOff>9525</xdr:colOff>
      <xdr:row>36</xdr:row>
      <xdr:rowOff>104775</xdr:rowOff>
    </xdr:to>
    <xdr:sp macro="" textlink="">
      <xdr:nvSpPr>
        <xdr:cNvPr id="316241" name="Rectangle 28"/>
        <xdr:cNvSpPr>
          <a:spLocks noChangeArrowheads="1"/>
        </xdr:cNvSpPr>
      </xdr:nvSpPr>
      <xdr:spPr bwMode="auto">
        <a:xfrm>
          <a:off x="76352400" y="7715250"/>
          <a:ext cx="190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103</xdr:col>
      <xdr:colOff>438150</xdr:colOff>
      <xdr:row>35</xdr:row>
      <xdr:rowOff>142875</xdr:rowOff>
    </xdr:from>
    <xdr:to>
      <xdr:col>104</xdr:col>
      <xdr:colOff>9525</xdr:colOff>
      <xdr:row>36</xdr:row>
      <xdr:rowOff>104775</xdr:rowOff>
    </xdr:to>
    <xdr:sp macro="" textlink="">
      <xdr:nvSpPr>
        <xdr:cNvPr id="316242" name="Rectangle 28"/>
        <xdr:cNvSpPr>
          <a:spLocks noChangeArrowheads="1"/>
        </xdr:cNvSpPr>
      </xdr:nvSpPr>
      <xdr:spPr bwMode="auto">
        <a:xfrm>
          <a:off x="76352400" y="7715250"/>
          <a:ext cx="190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103</xdr:col>
      <xdr:colOff>438150</xdr:colOff>
      <xdr:row>35</xdr:row>
      <xdr:rowOff>142875</xdr:rowOff>
    </xdr:from>
    <xdr:to>
      <xdr:col>104</xdr:col>
      <xdr:colOff>9525</xdr:colOff>
      <xdr:row>36</xdr:row>
      <xdr:rowOff>104775</xdr:rowOff>
    </xdr:to>
    <xdr:sp macro="" textlink="">
      <xdr:nvSpPr>
        <xdr:cNvPr id="316243" name="Rectangle 28"/>
        <xdr:cNvSpPr>
          <a:spLocks noChangeArrowheads="1"/>
        </xdr:cNvSpPr>
      </xdr:nvSpPr>
      <xdr:spPr bwMode="auto">
        <a:xfrm>
          <a:off x="76352400" y="7715250"/>
          <a:ext cx="190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103</xdr:col>
      <xdr:colOff>438150</xdr:colOff>
      <xdr:row>35</xdr:row>
      <xdr:rowOff>142875</xdr:rowOff>
    </xdr:from>
    <xdr:to>
      <xdr:col>104</xdr:col>
      <xdr:colOff>9525</xdr:colOff>
      <xdr:row>36</xdr:row>
      <xdr:rowOff>104775</xdr:rowOff>
    </xdr:to>
    <xdr:sp macro="" textlink="">
      <xdr:nvSpPr>
        <xdr:cNvPr id="316244" name="Rectangle 28"/>
        <xdr:cNvSpPr>
          <a:spLocks noChangeArrowheads="1"/>
        </xdr:cNvSpPr>
      </xdr:nvSpPr>
      <xdr:spPr bwMode="auto">
        <a:xfrm>
          <a:off x="76352400" y="7715250"/>
          <a:ext cx="190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103</xdr:col>
      <xdr:colOff>438150</xdr:colOff>
      <xdr:row>35</xdr:row>
      <xdr:rowOff>142875</xdr:rowOff>
    </xdr:from>
    <xdr:to>
      <xdr:col>104</xdr:col>
      <xdr:colOff>9525</xdr:colOff>
      <xdr:row>36</xdr:row>
      <xdr:rowOff>104775</xdr:rowOff>
    </xdr:to>
    <xdr:sp macro="" textlink="">
      <xdr:nvSpPr>
        <xdr:cNvPr id="316245" name="Rectangle 28"/>
        <xdr:cNvSpPr>
          <a:spLocks noChangeArrowheads="1"/>
        </xdr:cNvSpPr>
      </xdr:nvSpPr>
      <xdr:spPr bwMode="auto">
        <a:xfrm>
          <a:off x="76352400" y="7715250"/>
          <a:ext cx="190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103</xdr:col>
      <xdr:colOff>438150</xdr:colOff>
      <xdr:row>35</xdr:row>
      <xdr:rowOff>142875</xdr:rowOff>
    </xdr:from>
    <xdr:to>
      <xdr:col>104</xdr:col>
      <xdr:colOff>9525</xdr:colOff>
      <xdr:row>36</xdr:row>
      <xdr:rowOff>104775</xdr:rowOff>
    </xdr:to>
    <xdr:sp macro="" textlink="">
      <xdr:nvSpPr>
        <xdr:cNvPr id="316246" name="Rectangle 28"/>
        <xdr:cNvSpPr>
          <a:spLocks noChangeArrowheads="1"/>
        </xdr:cNvSpPr>
      </xdr:nvSpPr>
      <xdr:spPr bwMode="auto">
        <a:xfrm>
          <a:off x="76352400" y="7715250"/>
          <a:ext cx="190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103</xdr:col>
      <xdr:colOff>438150</xdr:colOff>
      <xdr:row>36</xdr:row>
      <xdr:rowOff>142875</xdr:rowOff>
    </xdr:from>
    <xdr:to>
      <xdr:col>104</xdr:col>
      <xdr:colOff>9525</xdr:colOff>
      <xdr:row>37</xdr:row>
      <xdr:rowOff>95250</xdr:rowOff>
    </xdr:to>
    <xdr:sp macro="" textlink="">
      <xdr:nvSpPr>
        <xdr:cNvPr id="316247" name="Rectangle 28"/>
        <xdr:cNvSpPr>
          <a:spLocks noChangeArrowheads="1"/>
        </xdr:cNvSpPr>
      </xdr:nvSpPr>
      <xdr:spPr bwMode="auto">
        <a:xfrm>
          <a:off x="76352400" y="7915275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103</xdr:col>
      <xdr:colOff>438150</xdr:colOff>
      <xdr:row>36</xdr:row>
      <xdr:rowOff>142875</xdr:rowOff>
    </xdr:from>
    <xdr:to>
      <xdr:col>104</xdr:col>
      <xdr:colOff>9525</xdr:colOff>
      <xdr:row>37</xdr:row>
      <xdr:rowOff>95250</xdr:rowOff>
    </xdr:to>
    <xdr:sp macro="" textlink="">
      <xdr:nvSpPr>
        <xdr:cNvPr id="316248" name="Rectangle 28"/>
        <xdr:cNvSpPr>
          <a:spLocks noChangeArrowheads="1"/>
        </xdr:cNvSpPr>
      </xdr:nvSpPr>
      <xdr:spPr bwMode="auto">
        <a:xfrm>
          <a:off x="76352400" y="7915275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103</xdr:col>
      <xdr:colOff>438150</xdr:colOff>
      <xdr:row>36</xdr:row>
      <xdr:rowOff>142875</xdr:rowOff>
    </xdr:from>
    <xdr:to>
      <xdr:col>104</xdr:col>
      <xdr:colOff>9525</xdr:colOff>
      <xdr:row>37</xdr:row>
      <xdr:rowOff>95250</xdr:rowOff>
    </xdr:to>
    <xdr:sp macro="" textlink="">
      <xdr:nvSpPr>
        <xdr:cNvPr id="316249" name="Rectangle 28"/>
        <xdr:cNvSpPr>
          <a:spLocks noChangeArrowheads="1"/>
        </xdr:cNvSpPr>
      </xdr:nvSpPr>
      <xdr:spPr bwMode="auto">
        <a:xfrm>
          <a:off x="76352400" y="7915275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103</xdr:col>
      <xdr:colOff>438150</xdr:colOff>
      <xdr:row>36</xdr:row>
      <xdr:rowOff>142875</xdr:rowOff>
    </xdr:from>
    <xdr:to>
      <xdr:col>104</xdr:col>
      <xdr:colOff>9525</xdr:colOff>
      <xdr:row>37</xdr:row>
      <xdr:rowOff>95250</xdr:rowOff>
    </xdr:to>
    <xdr:sp macro="" textlink="">
      <xdr:nvSpPr>
        <xdr:cNvPr id="316250" name="Rectangle 28"/>
        <xdr:cNvSpPr>
          <a:spLocks noChangeArrowheads="1"/>
        </xdr:cNvSpPr>
      </xdr:nvSpPr>
      <xdr:spPr bwMode="auto">
        <a:xfrm>
          <a:off x="76352400" y="7915275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103</xdr:col>
      <xdr:colOff>438150</xdr:colOff>
      <xdr:row>36</xdr:row>
      <xdr:rowOff>142875</xdr:rowOff>
    </xdr:from>
    <xdr:to>
      <xdr:col>104</xdr:col>
      <xdr:colOff>9525</xdr:colOff>
      <xdr:row>37</xdr:row>
      <xdr:rowOff>95250</xdr:rowOff>
    </xdr:to>
    <xdr:sp macro="" textlink="">
      <xdr:nvSpPr>
        <xdr:cNvPr id="316251" name="Rectangle 28"/>
        <xdr:cNvSpPr>
          <a:spLocks noChangeArrowheads="1"/>
        </xdr:cNvSpPr>
      </xdr:nvSpPr>
      <xdr:spPr bwMode="auto">
        <a:xfrm>
          <a:off x="76352400" y="7915275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103</xdr:col>
      <xdr:colOff>438150</xdr:colOff>
      <xdr:row>36</xdr:row>
      <xdr:rowOff>142875</xdr:rowOff>
    </xdr:from>
    <xdr:to>
      <xdr:col>104</xdr:col>
      <xdr:colOff>9525</xdr:colOff>
      <xdr:row>37</xdr:row>
      <xdr:rowOff>95250</xdr:rowOff>
    </xdr:to>
    <xdr:sp macro="" textlink="">
      <xdr:nvSpPr>
        <xdr:cNvPr id="316252" name="Rectangle 28"/>
        <xdr:cNvSpPr>
          <a:spLocks noChangeArrowheads="1"/>
        </xdr:cNvSpPr>
      </xdr:nvSpPr>
      <xdr:spPr bwMode="auto">
        <a:xfrm>
          <a:off x="76352400" y="7915275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103</xdr:col>
      <xdr:colOff>438150</xdr:colOff>
      <xdr:row>37</xdr:row>
      <xdr:rowOff>123825</xdr:rowOff>
    </xdr:from>
    <xdr:to>
      <xdr:col>104</xdr:col>
      <xdr:colOff>9525</xdr:colOff>
      <xdr:row>38</xdr:row>
      <xdr:rowOff>76200</xdr:rowOff>
    </xdr:to>
    <xdr:sp macro="" textlink="">
      <xdr:nvSpPr>
        <xdr:cNvPr id="316253" name="Rectangle 28"/>
        <xdr:cNvSpPr>
          <a:spLocks noChangeArrowheads="1"/>
        </xdr:cNvSpPr>
      </xdr:nvSpPr>
      <xdr:spPr bwMode="auto">
        <a:xfrm>
          <a:off x="76352400" y="8096250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103</xdr:col>
      <xdr:colOff>438150</xdr:colOff>
      <xdr:row>37</xdr:row>
      <xdr:rowOff>123825</xdr:rowOff>
    </xdr:from>
    <xdr:to>
      <xdr:col>104</xdr:col>
      <xdr:colOff>9525</xdr:colOff>
      <xdr:row>38</xdr:row>
      <xdr:rowOff>76200</xdr:rowOff>
    </xdr:to>
    <xdr:sp macro="" textlink="">
      <xdr:nvSpPr>
        <xdr:cNvPr id="316254" name="Rectangle 28"/>
        <xdr:cNvSpPr>
          <a:spLocks noChangeArrowheads="1"/>
        </xdr:cNvSpPr>
      </xdr:nvSpPr>
      <xdr:spPr bwMode="auto">
        <a:xfrm>
          <a:off x="76352400" y="8096250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103</xdr:col>
      <xdr:colOff>438150</xdr:colOff>
      <xdr:row>37</xdr:row>
      <xdr:rowOff>123825</xdr:rowOff>
    </xdr:from>
    <xdr:to>
      <xdr:col>104</xdr:col>
      <xdr:colOff>9525</xdr:colOff>
      <xdr:row>38</xdr:row>
      <xdr:rowOff>76200</xdr:rowOff>
    </xdr:to>
    <xdr:sp macro="" textlink="">
      <xdr:nvSpPr>
        <xdr:cNvPr id="316255" name="Rectangle 28"/>
        <xdr:cNvSpPr>
          <a:spLocks noChangeArrowheads="1"/>
        </xdr:cNvSpPr>
      </xdr:nvSpPr>
      <xdr:spPr bwMode="auto">
        <a:xfrm>
          <a:off x="76352400" y="8096250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103</xdr:col>
      <xdr:colOff>438150</xdr:colOff>
      <xdr:row>37</xdr:row>
      <xdr:rowOff>123825</xdr:rowOff>
    </xdr:from>
    <xdr:to>
      <xdr:col>104</xdr:col>
      <xdr:colOff>9525</xdr:colOff>
      <xdr:row>38</xdr:row>
      <xdr:rowOff>76200</xdr:rowOff>
    </xdr:to>
    <xdr:sp macro="" textlink="">
      <xdr:nvSpPr>
        <xdr:cNvPr id="316256" name="Rectangle 28"/>
        <xdr:cNvSpPr>
          <a:spLocks noChangeArrowheads="1"/>
        </xdr:cNvSpPr>
      </xdr:nvSpPr>
      <xdr:spPr bwMode="auto">
        <a:xfrm>
          <a:off x="76352400" y="8096250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103</xdr:col>
      <xdr:colOff>438150</xdr:colOff>
      <xdr:row>37</xdr:row>
      <xdr:rowOff>123825</xdr:rowOff>
    </xdr:from>
    <xdr:to>
      <xdr:col>104</xdr:col>
      <xdr:colOff>9525</xdr:colOff>
      <xdr:row>38</xdr:row>
      <xdr:rowOff>76200</xdr:rowOff>
    </xdr:to>
    <xdr:sp macro="" textlink="">
      <xdr:nvSpPr>
        <xdr:cNvPr id="316257" name="Rectangle 28"/>
        <xdr:cNvSpPr>
          <a:spLocks noChangeArrowheads="1"/>
        </xdr:cNvSpPr>
      </xdr:nvSpPr>
      <xdr:spPr bwMode="auto">
        <a:xfrm>
          <a:off x="76352400" y="8096250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103</xdr:col>
      <xdr:colOff>438150</xdr:colOff>
      <xdr:row>37</xdr:row>
      <xdr:rowOff>123825</xdr:rowOff>
    </xdr:from>
    <xdr:to>
      <xdr:col>104</xdr:col>
      <xdr:colOff>9525</xdr:colOff>
      <xdr:row>38</xdr:row>
      <xdr:rowOff>76200</xdr:rowOff>
    </xdr:to>
    <xdr:sp macro="" textlink="">
      <xdr:nvSpPr>
        <xdr:cNvPr id="316258" name="Rectangle 28"/>
        <xdr:cNvSpPr>
          <a:spLocks noChangeArrowheads="1"/>
        </xdr:cNvSpPr>
      </xdr:nvSpPr>
      <xdr:spPr bwMode="auto">
        <a:xfrm>
          <a:off x="76352400" y="8096250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103</xdr:col>
      <xdr:colOff>438150</xdr:colOff>
      <xdr:row>38</xdr:row>
      <xdr:rowOff>123825</xdr:rowOff>
    </xdr:from>
    <xdr:to>
      <xdr:col>104</xdr:col>
      <xdr:colOff>9525</xdr:colOff>
      <xdr:row>39</xdr:row>
      <xdr:rowOff>66675</xdr:rowOff>
    </xdr:to>
    <xdr:sp macro="" textlink="">
      <xdr:nvSpPr>
        <xdr:cNvPr id="316259" name="Rectangle 28"/>
        <xdr:cNvSpPr>
          <a:spLocks noChangeArrowheads="1"/>
        </xdr:cNvSpPr>
      </xdr:nvSpPr>
      <xdr:spPr bwMode="auto">
        <a:xfrm>
          <a:off x="76352400" y="8296275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103</xdr:col>
      <xdr:colOff>438150</xdr:colOff>
      <xdr:row>38</xdr:row>
      <xdr:rowOff>123825</xdr:rowOff>
    </xdr:from>
    <xdr:to>
      <xdr:col>104</xdr:col>
      <xdr:colOff>9525</xdr:colOff>
      <xdr:row>39</xdr:row>
      <xdr:rowOff>66675</xdr:rowOff>
    </xdr:to>
    <xdr:sp macro="" textlink="">
      <xdr:nvSpPr>
        <xdr:cNvPr id="316260" name="Rectangle 28"/>
        <xdr:cNvSpPr>
          <a:spLocks noChangeArrowheads="1"/>
        </xdr:cNvSpPr>
      </xdr:nvSpPr>
      <xdr:spPr bwMode="auto">
        <a:xfrm>
          <a:off x="76352400" y="8296275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103</xdr:col>
      <xdr:colOff>438150</xdr:colOff>
      <xdr:row>38</xdr:row>
      <xdr:rowOff>123825</xdr:rowOff>
    </xdr:from>
    <xdr:to>
      <xdr:col>104</xdr:col>
      <xdr:colOff>9525</xdr:colOff>
      <xdr:row>39</xdr:row>
      <xdr:rowOff>66675</xdr:rowOff>
    </xdr:to>
    <xdr:sp macro="" textlink="">
      <xdr:nvSpPr>
        <xdr:cNvPr id="316261" name="Rectangle 28"/>
        <xdr:cNvSpPr>
          <a:spLocks noChangeArrowheads="1"/>
        </xdr:cNvSpPr>
      </xdr:nvSpPr>
      <xdr:spPr bwMode="auto">
        <a:xfrm>
          <a:off x="76352400" y="8296275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103</xdr:col>
      <xdr:colOff>438150</xdr:colOff>
      <xdr:row>38</xdr:row>
      <xdr:rowOff>123825</xdr:rowOff>
    </xdr:from>
    <xdr:to>
      <xdr:col>104</xdr:col>
      <xdr:colOff>9525</xdr:colOff>
      <xdr:row>39</xdr:row>
      <xdr:rowOff>66675</xdr:rowOff>
    </xdr:to>
    <xdr:sp macro="" textlink="">
      <xdr:nvSpPr>
        <xdr:cNvPr id="316262" name="Rectangle 28"/>
        <xdr:cNvSpPr>
          <a:spLocks noChangeArrowheads="1"/>
        </xdr:cNvSpPr>
      </xdr:nvSpPr>
      <xdr:spPr bwMode="auto">
        <a:xfrm>
          <a:off x="76352400" y="8296275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103</xdr:col>
      <xdr:colOff>438150</xdr:colOff>
      <xdr:row>38</xdr:row>
      <xdr:rowOff>123825</xdr:rowOff>
    </xdr:from>
    <xdr:to>
      <xdr:col>104</xdr:col>
      <xdr:colOff>9525</xdr:colOff>
      <xdr:row>39</xdr:row>
      <xdr:rowOff>66675</xdr:rowOff>
    </xdr:to>
    <xdr:sp macro="" textlink="">
      <xdr:nvSpPr>
        <xdr:cNvPr id="316263" name="Rectangle 28"/>
        <xdr:cNvSpPr>
          <a:spLocks noChangeArrowheads="1"/>
        </xdr:cNvSpPr>
      </xdr:nvSpPr>
      <xdr:spPr bwMode="auto">
        <a:xfrm>
          <a:off x="76352400" y="8296275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103</xdr:col>
      <xdr:colOff>438150</xdr:colOff>
      <xdr:row>38</xdr:row>
      <xdr:rowOff>123825</xdr:rowOff>
    </xdr:from>
    <xdr:to>
      <xdr:col>104</xdr:col>
      <xdr:colOff>9525</xdr:colOff>
      <xdr:row>39</xdr:row>
      <xdr:rowOff>66675</xdr:rowOff>
    </xdr:to>
    <xdr:sp macro="" textlink="">
      <xdr:nvSpPr>
        <xdr:cNvPr id="316264" name="Rectangle 28"/>
        <xdr:cNvSpPr>
          <a:spLocks noChangeArrowheads="1"/>
        </xdr:cNvSpPr>
      </xdr:nvSpPr>
      <xdr:spPr bwMode="auto">
        <a:xfrm>
          <a:off x="76352400" y="8296275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103</xdr:col>
      <xdr:colOff>438150</xdr:colOff>
      <xdr:row>39</xdr:row>
      <xdr:rowOff>123825</xdr:rowOff>
    </xdr:from>
    <xdr:to>
      <xdr:col>104</xdr:col>
      <xdr:colOff>9525</xdr:colOff>
      <xdr:row>40</xdr:row>
      <xdr:rowOff>66675</xdr:rowOff>
    </xdr:to>
    <xdr:sp macro="" textlink="">
      <xdr:nvSpPr>
        <xdr:cNvPr id="316265" name="Rectangle 28"/>
        <xdr:cNvSpPr>
          <a:spLocks noChangeArrowheads="1"/>
        </xdr:cNvSpPr>
      </xdr:nvSpPr>
      <xdr:spPr bwMode="auto">
        <a:xfrm>
          <a:off x="76352400" y="8496300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103</xdr:col>
      <xdr:colOff>438150</xdr:colOff>
      <xdr:row>39</xdr:row>
      <xdr:rowOff>123825</xdr:rowOff>
    </xdr:from>
    <xdr:to>
      <xdr:col>104</xdr:col>
      <xdr:colOff>9525</xdr:colOff>
      <xdr:row>40</xdr:row>
      <xdr:rowOff>66675</xdr:rowOff>
    </xdr:to>
    <xdr:sp macro="" textlink="">
      <xdr:nvSpPr>
        <xdr:cNvPr id="316266" name="Rectangle 28"/>
        <xdr:cNvSpPr>
          <a:spLocks noChangeArrowheads="1"/>
        </xdr:cNvSpPr>
      </xdr:nvSpPr>
      <xdr:spPr bwMode="auto">
        <a:xfrm>
          <a:off x="76352400" y="8496300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103</xdr:col>
      <xdr:colOff>438150</xdr:colOff>
      <xdr:row>39</xdr:row>
      <xdr:rowOff>123825</xdr:rowOff>
    </xdr:from>
    <xdr:to>
      <xdr:col>104</xdr:col>
      <xdr:colOff>9525</xdr:colOff>
      <xdr:row>40</xdr:row>
      <xdr:rowOff>66675</xdr:rowOff>
    </xdr:to>
    <xdr:sp macro="" textlink="">
      <xdr:nvSpPr>
        <xdr:cNvPr id="316267" name="Rectangle 28"/>
        <xdr:cNvSpPr>
          <a:spLocks noChangeArrowheads="1"/>
        </xdr:cNvSpPr>
      </xdr:nvSpPr>
      <xdr:spPr bwMode="auto">
        <a:xfrm>
          <a:off x="76352400" y="8496300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103</xdr:col>
      <xdr:colOff>438150</xdr:colOff>
      <xdr:row>39</xdr:row>
      <xdr:rowOff>123825</xdr:rowOff>
    </xdr:from>
    <xdr:to>
      <xdr:col>104</xdr:col>
      <xdr:colOff>9525</xdr:colOff>
      <xdr:row>40</xdr:row>
      <xdr:rowOff>66675</xdr:rowOff>
    </xdr:to>
    <xdr:sp macro="" textlink="">
      <xdr:nvSpPr>
        <xdr:cNvPr id="316268" name="Rectangle 28"/>
        <xdr:cNvSpPr>
          <a:spLocks noChangeArrowheads="1"/>
        </xdr:cNvSpPr>
      </xdr:nvSpPr>
      <xdr:spPr bwMode="auto">
        <a:xfrm>
          <a:off x="76352400" y="8496300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103</xdr:col>
      <xdr:colOff>438150</xdr:colOff>
      <xdr:row>39</xdr:row>
      <xdr:rowOff>123825</xdr:rowOff>
    </xdr:from>
    <xdr:to>
      <xdr:col>104</xdr:col>
      <xdr:colOff>9525</xdr:colOff>
      <xdr:row>40</xdr:row>
      <xdr:rowOff>66675</xdr:rowOff>
    </xdr:to>
    <xdr:sp macro="" textlink="">
      <xdr:nvSpPr>
        <xdr:cNvPr id="316269" name="Rectangle 28"/>
        <xdr:cNvSpPr>
          <a:spLocks noChangeArrowheads="1"/>
        </xdr:cNvSpPr>
      </xdr:nvSpPr>
      <xdr:spPr bwMode="auto">
        <a:xfrm>
          <a:off x="76352400" y="8496300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103</xdr:col>
      <xdr:colOff>438150</xdr:colOff>
      <xdr:row>39</xdr:row>
      <xdr:rowOff>123825</xdr:rowOff>
    </xdr:from>
    <xdr:to>
      <xdr:col>104</xdr:col>
      <xdr:colOff>9525</xdr:colOff>
      <xdr:row>40</xdr:row>
      <xdr:rowOff>66675</xdr:rowOff>
    </xdr:to>
    <xdr:sp macro="" textlink="">
      <xdr:nvSpPr>
        <xdr:cNvPr id="316270" name="Rectangle 28"/>
        <xdr:cNvSpPr>
          <a:spLocks noChangeArrowheads="1"/>
        </xdr:cNvSpPr>
      </xdr:nvSpPr>
      <xdr:spPr bwMode="auto">
        <a:xfrm>
          <a:off x="76352400" y="8496300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103</xdr:col>
      <xdr:colOff>438150</xdr:colOff>
      <xdr:row>40</xdr:row>
      <xdr:rowOff>104775</xdr:rowOff>
    </xdr:from>
    <xdr:to>
      <xdr:col>104</xdr:col>
      <xdr:colOff>9525</xdr:colOff>
      <xdr:row>41</xdr:row>
      <xdr:rowOff>57150</xdr:rowOff>
    </xdr:to>
    <xdr:sp macro="" textlink="">
      <xdr:nvSpPr>
        <xdr:cNvPr id="316271" name="Rectangle 28"/>
        <xdr:cNvSpPr>
          <a:spLocks noChangeArrowheads="1"/>
        </xdr:cNvSpPr>
      </xdr:nvSpPr>
      <xdr:spPr bwMode="auto">
        <a:xfrm>
          <a:off x="76352400" y="8677275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103</xdr:col>
      <xdr:colOff>438150</xdr:colOff>
      <xdr:row>40</xdr:row>
      <xdr:rowOff>104775</xdr:rowOff>
    </xdr:from>
    <xdr:to>
      <xdr:col>104</xdr:col>
      <xdr:colOff>9525</xdr:colOff>
      <xdr:row>41</xdr:row>
      <xdr:rowOff>57150</xdr:rowOff>
    </xdr:to>
    <xdr:sp macro="" textlink="">
      <xdr:nvSpPr>
        <xdr:cNvPr id="316272" name="Rectangle 28"/>
        <xdr:cNvSpPr>
          <a:spLocks noChangeArrowheads="1"/>
        </xdr:cNvSpPr>
      </xdr:nvSpPr>
      <xdr:spPr bwMode="auto">
        <a:xfrm>
          <a:off x="76352400" y="8677275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103</xdr:col>
      <xdr:colOff>438150</xdr:colOff>
      <xdr:row>40</xdr:row>
      <xdr:rowOff>104775</xdr:rowOff>
    </xdr:from>
    <xdr:to>
      <xdr:col>104</xdr:col>
      <xdr:colOff>9525</xdr:colOff>
      <xdr:row>41</xdr:row>
      <xdr:rowOff>57150</xdr:rowOff>
    </xdr:to>
    <xdr:sp macro="" textlink="">
      <xdr:nvSpPr>
        <xdr:cNvPr id="316273" name="Rectangle 28"/>
        <xdr:cNvSpPr>
          <a:spLocks noChangeArrowheads="1"/>
        </xdr:cNvSpPr>
      </xdr:nvSpPr>
      <xdr:spPr bwMode="auto">
        <a:xfrm>
          <a:off x="76352400" y="8677275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103</xdr:col>
      <xdr:colOff>438150</xdr:colOff>
      <xdr:row>40</xdr:row>
      <xdr:rowOff>104775</xdr:rowOff>
    </xdr:from>
    <xdr:to>
      <xdr:col>104</xdr:col>
      <xdr:colOff>9525</xdr:colOff>
      <xdr:row>41</xdr:row>
      <xdr:rowOff>57150</xdr:rowOff>
    </xdr:to>
    <xdr:sp macro="" textlink="">
      <xdr:nvSpPr>
        <xdr:cNvPr id="316274" name="Rectangle 28"/>
        <xdr:cNvSpPr>
          <a:spLocks noChangeArrowheads="1"/>
        </xdr:cNvSpPr>
      </xdr:nvSpPr>
      <xdr:spPr bwMode="auto">
        <a:xfrm>
          <a:off x="76352400" y="8677275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103</xdr:col>
      <xdr:colOff>438150</xdr:colOff>
      <xdr:row>40</xdr:row>
      <xdr:rowOff>104775</xdr:rowOff>
    </xdr:from>
    <xdr:to>
      <xdr:col>104</xdr:col>
      <xdr:colOff>9525</xdr:colOff>
      <xdr:row>41</xdr:row>
      <xdr:rowOff>57150</xdr:rowOff>
    </xdr:to>
    <xdr:sp macro="" textlink="">
      <xdr:nvSpPr>
        <xdr:cNvPr id="316275" name="Rectangle 28"/>
        <xdr:cNvSpPr>
          <a:spLocks noChangeArrowheads="1"/>
        </xdr:cNvSpPr>
      </xdr:nvSpPr>
      <xdr:spPr bwMode="auto">
        <a:xfrm>
          <a:off x="76352400" y="8677275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103</xdr:col>
      <xdr:colOff>438150</xdr:colOff>
      <xdr:row>40</xdr:row>
      <xdr:rowOff>104775</xdr:rowOff>
    </xdr:from>
    <xdr:to>
      <xdr:col>104</xdr:col>
      <xdr:colOff>9525</xdr:colOff>
      <xdr:row>41</xdr:row>
      <xdr:rowOff>57150</xdr:rowOff>
    </xdr:to>
    <xdr:sp macro="" textlink="">
      <xdr:nvSpPr>
        <xdr:cNvPr id="316276" name="Rectangle 28"/>
        <xdr:cNvSpPr>
          <a:spLocks noChangeArrowheads="1"/>
        </xdr:cNvSpPr>
      </xdr:nvSpPr>
      <xdr:spPr bwMode="auto">
        <a:xfrm>
          <a:off x="76352400" y="8677275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103</xdr:col>
      <xdr:colOff>438150</xdr:colOff>
      <xdr:row>41</xdr:row>
      <xdr:rowOff>76200</xdr:rowOff>
    </xdr:from>
    <xdr:to>
      <xdr:col>104</xdr:col>
      <xdr:colOff>9525</xdr:colOff>
      <xdr:row>42</xdr:row>
      <xdr:rowOff>38100</xdr:rowOff>
    </xdr:to>
    <xdr:sp macro="" textlink="">
      <xdr:nvSpPr>
        <xdr:cNvPr id="316277" name="Rectangle 28"/>
        <xdr:cNvSpPr>
          <a:spLocks noChangeArrowheads="1"/>
        </xdr:cNvSpPr>
      </xdr:nvSpPr>
      <xdr:spPr bwMode="auto">
        <a:xfrm>
          <a:off x="76352400" y="8848725"/>
          <a:ext cx="190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103</xdr:col>
      <xdr:colOff>438150</xdr:colOff>
      <xdr:row>41</xdr:row>
      <xdr:rowOff>76200</xdr:rowOff>
    </xdr:from>
    <xdr:to>
      <xdr:col>104</xdr:col>
      <xdr:colOff>9525</xdr:colOff>
      <xdr:row>42</xdr:row>
      <xdr:rowOff>38100</xdr:rowOff>
    </xdr:to>
    <xdr:sp macro="" textlink="">
      <xdr:nvSpPr>
        <xdr:cNvPr id="316278" name="Rectangle 28"/>
        <xdr:cNvSpPr>
          <a:spLocks noChangeArrowheads="1"/>
        </xdr:cNvSpPr>
      </xdr:nvSpPr>
      <xdr:spPr bwMode="auto">
        <a:xfrm>
          <a:off x="76352400" y="8848725"/>
          <a:ext cx="190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103</xdr:col>
      <xdr:colOff>438150</xdr:colOff>
      <xdr:row>41</xdr:row>
      <xdr:rowOff>76200</xdr:rowOff>
    </xdr:from>
    <xdr:to>
      <xdr:col>104</xdr:col>
      <xdr:colOff>9525</xdr:colOff>
      <xdr:row>42</xdr:row>
      <xdr:rowOff>38100</xdr:rowOff>
    </xdr:to>
    <xdr:sp macro="" textlink="">
      <xdr:nvSpPr>
        <xdr:cNvPr id="316279" name="Rectangle 28"/>
        <xdr:cNvSpPr>
          <a:spLocks noChangeArrowheads="1"/>
        </xdr:cNvSpPr>
      </xdr:nvSpPr>
      <xdr:spPr bwMode="auto">
        <a:xfrm>
          <a:off x="76352400" y="8848725"/>
          <a:ext cx="190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103</xdr:col>
      <xdr:colOff>438150</xdr:colOff>
      <xdr:row>41</xdr:row>
      <xdr:rowOff>76200</xdr:rowOff>
    </xdr:from>
    <xdr:to>
      <xdr:col>104</xdr:col>
      <xdr:colOff>9525</xdr:colOff>
      <xdr:row>42</xdr:row>
      <xdr:rowOff>38100</xdr:rowOff>
    </xdr:to>
    <xdr:sp macro="" textlink="">
      <xdr:nvSpPr>
        <xdr:cNvPr id="316280" name="Rectangle 28"/>
        <xdr:cNvSpPr>
          <a:spLocks noChangeArrowheads="1"/>
        </xdr:cNvSpPr>
      </xdr:nvSpPr>
      <xdr:spPr bwMode="auto">
        <a:xfrm>
          <a:off x="76352400" y="8848725"/>
          <a:ext cx="190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103</xdr:col>
      <xdr:colOff>438150</xdr:colOff>
      <xdr:row>41</xdr:row>
      <xdr:rowOff>76200</xdr:rowOff>
    </xdr:from>
    <xdr:to>
      <xdr:col>104</xdr:col>
      <xdr:colOff>9525</xdr:colOff>
      <xdr:row>42</xdr:row>
      <xdr:rowOff>38100</xdr:rowOff>
    </xdr:to>
    <xdr:sp macro="" textlink="">
      <xdr:nvSpPr>
        <xdr:cNvPr id="316281" name="Rectangle 28"/>
        <xdr:cNvSpPr>
          <a:spLocks noChangeArrowheads="1"/>
        </xdr:cNvSpPr>
      </xdr:nvSpPr>
      <xdr:spPr bwMode="auto">
        <a:xfrm>
          <a:off x="76352400" y="8848725"/>
          <a:ext cx="190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103</xdr:col>
      <xdr:colOff>438150</xdr:colOff>
      <xdr:row>41</xdr:row>
      <xdr:rowOff>76200</xdr:rowOff>
    </xdr:from>
    <xdr:to>
      <xdr:col>104</xdr:col>
      <xdr:colOff>9525</xdr:colOff>
      <xdr:row>42</xdr:row>
      <xdr:rowOff>38100</xdr:rowOff>
    </xdr:to>
    <xdr:sp macro="" textlink="">
      <xdr:nvSpPr>
        <xdr:cNvPr id="316282" name="Rectangle 28"/>
        <xdr:cNvSpPr>
          <a:spLocks noChangeArrowheads="1"/>
        </xdr:cNvSpPr>
      </xdr:nvSpPr>
      <xdr:spPr bwMode="auto">
        <a:xfrm>
          <a:off x="76352400" y="8848725"/>
          <a:ext cx="190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103</xdr:col>
      <xdr:colOff>438150</xdr:colOff>
      <xdr:row>42</xdr:row>
      <xdr:rowOff>76200</xdr:rowOff>
    </xdr:from>
    <xdr:to>
      <xdr:col>104</xdr:col>
      <xdr:colOff>9525</xdr:colOff>
      <xdr:row>43</xdr:row>
      <xdr:rowOff>28575</xdr:rowOff>
    </xdr:to>
    <xdr:sp macro="" textlink="">
      <xdr:nvSpPr>
        <xdr:cNvPr id="316283" name="Rectangle 28"/>
        <xdr:cNvSpPr>
          <a:spLocks noChangeArrowheads="1"/>
        </xdr:cNvSpPr>
      </xdr:nvSpPr>
      <xdr:spPr bwMode="auto">
        <a:xfrm>
          <a:off x="76352400" y="9048750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103</xdr:col>
      <xdr:colOff>438150</xdr:colOff>
      <xdr:row>42</xdr:row>
      <xdr:rowOff>76200</xdr:rowOff>
    </xdr:from>
    <xdr:to>
      <xdr:col>104</xdr:col>
      <xdr:colOff>9525</xdr:colOff>
      <xdr:row>43</xdr:row>
      <xdr:rowOff>28575</xdr:rowOff>
    </xdr:to>
    <xdr:sp macro="" textlink="">
      <xdr:nvSpPr>
        <xdr:cNvPr id="316284" name="Rectangle 28"/>
        <xdr:cNvSpPr>
          <a:spLocks noChangeArrowheads="1"/>
        </xdr:cNvSpPr>
      </xdr:nvSpPr>
      <xdr:spPr bwMode="auto">
        <a:xfrm>
          <a:off x="76352400" y="9048750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103</xdr:col>
      <xdr:colOff>438150</xdr:colOff>
      <xdr:row>42</xdr:row>
      <xdr:rowOff>76200</xdr:rowOff>
    </xdr:from>
    <xdr:to>
      <xdr:col>104</xdr:col>
      <xdr:colOff>9525</xdr:colOff>
      <xdr:row>43</xdr:row>
      <xdr:rowOff>28575</xdr:rowOff>
    </xdr:to>
    <xdr:sp macro="" textlink="">
      <xdr:nvSpPr>
        <xdr:cNvPr id="316285" name="Rectangle 28"/>
        <xdr:cNvSpPr>
          <a:spLocks noChangeArrowheads="1"/>
        </xdr:cNvSpPr>
      </xdr:nvSpPr>
      <xdr:spPr bwMode="auto">
        <a:xfrm>
          <a:off x="76352400" y="9048750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103</xdr:col>
      <xdr:colOff>438150</xdr:colOff>
      <xdr:row>42</xdr:row>
      <xdr:rowOff>76200</xdr:rowOff>
    </xdr:from>
    <xdr:to>
      <xdr:col>104</xdr:col>
      <xdr:colOff>9525</xdr:colOff>
      <xdr:row>43</xdr:row>
      <xdr:rowOff>28575</xdr:rowOff>
    </xdr:to>
    <xdr:sp macro="" textlink="">
      <xdr:nvSpPr>
        <xdr:cNvPr id="316286" name="Rectangle 28"/>
        <xdr:cNvSpPr>
          <a:spLocks noChangeArrowheads="1"/>
        </xdr:cNvSpPr>
      </xdr:nvSpPr>
      <xdr:spPr bwMode="auto">
        <a:xfrm>
          <a:off x="76352400" y="9048750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103</xdr:col>
      <xdr:colOff>438150</xdr:colOff>
      <xdr:row>42</xdr:row>
      <xdr:rowOff>76200</xdr:rowOff>
    </xdr:from>
    <xdr:to>
      <xdr:col>104</xdr:col>
      <xdr:colOff>9525</xdr:colOff>
      <xdr:row>43</xdr:row>
      <xdr:rowOff>28575</xdr:rowOff>
    </xdr:to>
    <xdr:sp macro="" textlink="">
      <xdr:nvSpPr>
        <xdr:cNvPr id="316287" name="Rectangle 28"/>
        <xdr:cNvSpPr>
          <a:spLocks noChangeArrowheads="1"/>
        </xdr:cNvSpPr>
      </xdr:nvSpPr>
      <xdr:spPr bwMode="auto">
        <a:xfrm>
          <a:off x="76352400" y="9048750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103</xdr:col>
      <xdr:colOff>438150</xdr:colOff>
      <xdr:row>42</xdr:row>
      <xdr:rowOff>76200</xdr:rowOff>
    </xdr:from>
    <xdr:to>
      <xdr:col>104</xdr:col>
      <xdr:colOff>9525</xdr:colOff>
      <xdr:row>43</xdr:row>
      <xdr:rowOff>28575</xdr:rowOff>
    </xdr:to>
    <xdr:sp macro="" textlink="">
      <xdr:nvSpPr>
        <xdr:cNvPr id="316288" name="Rectangle 28"/>
        <xdr:cNvSpPr>
          <a:spLocks noChangeArrowheads="1"/>
        </xdr:cNvSpPr>
      </xdr:nvSpPr>
      <xdr:spPr bwMode="auto">
        <a:xfrm>
          <a:off x="76352400" y="9048750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103</xdr:col>
      <xdr:colOff>438150</xdr:colOff>
      <xdr:row>43</xdr:row>
      <xdr:rowOff>76200</xdr:rowOff>
    </xdr:from>
    <xdr:to>
      <xdr:col>104</xdr:col>
      <xdr:colOff>9525</xdr:colOff>
      <xdr:row>44</xdr:row>
      <xdr:rowOff>28575</xdr:rowOff>
    </xdr:to>
    <xdr:sp macro="" textlink="">
      <xdr:nvSpPr>
        <xdr:cNvPr id="316289" name="Rectangle 28"/>
        <xdr:cNvSpPr>
          <a:spLocks noChangeArrowheads="1"/>
        </xdr:cNvSpPr>
      </xdr:nvSpPr>
      <xdr:spPr bwMode="auto">
        <a:xfrm>
          <a:off x="76352400" y="9248775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103</xdr:col>
      <xdr:colOff>438150</xdr:colOff>
      <xdr:row>43</xdr:row>
      <xdr:rowOff>76200</xdr:rowOff>
    </xdr:from>
    <xdr:to>
      <xdr:col>104</xdr:col>
      <xdr:colOff>9525</xdr:colOff>
      <xdr:row>44</xdr:row>
      <xdr:rowOff>28575</xdr:rowOff>
    </xdr:to>
    <xdr:sp macro="" textlink="">
      <xdr:nvSpPr>
        <xdr:cNvPr id="316290" name="Rectangle 28"/>
        <xdr:cNvSpPr>
          <a:spLocks noChangeArrowheads="1"/>
        </xdr:cNvSpPr>
      </xdr:nvSpPr>
      <xdr:spPr bwMode="auto">
        <a:xfrm>
          <a:off x="76352400" y="9248775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103</xdr:col>
      <xdr:colOff>438150</xdr:colOff>
      <xdr:row>43</xdr:row>
      <xdr:rowOff>76200</xdr:rowOff>
    </xdr:from>
    <xdr:to>
      <xdr:col>104</xdr:col>
      <xdr:colOff>9525</xdr:colOff>
      <xdr:row>44</xdr:row>
      <xdr:rowOff>28575</xdr:rowOff>
    </xdr:to>
    <xdr:sp macro="" textlink="">
      <xdr:nvSpPr>
        <xdr:cNvPr id="316291" name="Rectangle 28"/>
        <xdr:cNvSpPr>
          <a:spLocks noChangeArrowheads="1"/>
        </xdr:cNvSpPr>
      </xdr:nvSpPr>
      <xdr:spPr bwMode="auto">
        <a:xfrm>
          <a:off x="76352400" y="9248775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103</xdr:col>
      <xdr:colOff>438150</xdr:colOff>
      <xdr:row>43</xdr:row>
      <xdr:rowOff>76200</xdr:rowOff>
    </xdr:from>
    <xdr:to>
      <xdr:col>104</xdr:col>
      <xdr:colOff>9525</xdr:colOff>
      <xdr:row>44</xdr:row>
      <xdr:rowOff>28575</xdr:rowOff>
    </xdr:to>
    <xdr:sp macro="" textlink="">
      <xdr:nvSpPr>
        <xdr:cNvPr id="316292" name="Rectangle 28"/>
        <xdr:cNvSpPr>
          <a:spLocks noChangeArrowheads="1"/>
        </xdr:cNvSpPr>
      </xdr:nvSpPr>
      <xdr:spPr bwMode="auto">
        <a:xfrm>
          <a:off x="76352400" y="9248775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103</xdr:col>
      <xdr:colOff>438150</xdr:colOff>
      <xdr:row>43</xdr:row>
      <xdr:rowOff>76200</xdr:rowOff>
    </xdr:from>
    <xdr:to>
      <xdr:col>104</xdr:col>
      <xdr:colOff>9525</xdr:colOff>
      <xdr:row>44</xdr:row>
      <xdr:rowOff>28575</xdr:rowOff>
    </xdr:to>
    <xdr:sp macro="" textlink="">
      <xdr:nvSpPr>
        <xdr:cNvPr id="316293" name="Rectangle 28"/>
        <xdr:cNvSpPr>
          <a:spLocks noChangeArrowheads="1"/>
        </xdr:cNvSpPr>
      </xdr:nvSpPr>
      <xdr:spPr bwMode="auto">
        <a:xfrm>
          <a:off x="76352400" y="9248775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103</xdr:col>
      <xdr:colOff>438150</xdr:colOff>
      <xdr:row>43</xdr:row>
      <xdr:rowOff>76200</xdr:rowOff>
    </xdr:from>
    <xdr:to>
      <xdr:col>104</xdr:col>
      <xdr:colOff>9525</xdr:colOff>
      <xdr:row>44</xdr:row>
      <xdr:rowOff>28575</xdr:rowOff>
    </xdr:to>
    <xdr:sp macro="" textlink="">
      <xdr:nvSpPr>
        <xdr:cNvPr id="316294" name="Rectangle 28"/>
        <xdr:cNvSpPr>
          <a:spLocks noChangeArrowheads="1"/>
        </xdr:cNvSpPr>
      </xdr:nvSpPr>
      <xdr:spPr bwMode="auto">
        <a:xfrm>
          <a:off x="76352400" y="9248775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103</xdr:col>
      <xdr:colOff>438150</xdr:colOff>
      <xdr:row>44</xdr:row>
      <xdr:rowOff>66675</xdr:rowOff>
    </xdr:from>
    <xdr:to>
      <xdr:col>104</xdr:col>
      <xdr:colOff>9525</xdr:colOff>
      <xdr:row>45</xdr:row>
      <xdr:rowOff>9525</xdr:rowOff>
    </xdr:to>
    <xdr:sp macro="" textlink="">
      <xdr:nvSpPr>
        <xdr:cNvPr id="316295" name="Rectangle 28"/>
        <xdr:cNvSpPr>
          <a:spLocks noChangeArrowheads="1"/>
        </xdr:cNvSpPr>
      </xdr:nvSpPr>
      <xdr:spPr bwMode="auto">
        <a:xfrm>
          <a:off x="76352400" y="9439275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103</xdr:col>
      <xdr:colOff>438150</xdr:colOff>
      <xdr:row>44</xdr:row>
      <xdr:rowOff>66675</xdr:rowOff>
    </xdr:from>
    <xdr:to>
      <xdr:col>104</xdr:col>
      <xdr:colOff>9525</xdr:colOff>
      <xdr:row>45</xdr:row>
      <xdr:rowOff>9525</xdr:rowOff>
    </xdr:to>
    <xdr:sp macro="" textlink="">
      <xdr:nvSpPr>
        <xdr:cNvPr id="316296" name="Rectangle 28"/>
        <xdr:cNvSpPr>
          <a:spLocks noChangeArrowheads="1"/>
        </xdr:cNvSpPr>
      </xdr:nvSpPr>
      <xdr:spPr bwMode="auto">
        <a:xfrm>
          <a:off x="76352400" y="9439275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103</xdr:col>
      <xdr:colOff>438150</xdr:colOff>
      <xdr:row>44</xdr:row>
      <xdr:rowOff>66675</xdr:rowOff>
    </xdr:from>
    <xdr:to>
      <xdr:col>104</xdr:col>
      <xdr:colOff>9525</xdr:colOff>
      <xdr:row>45</xdr:row>
      <xdr:rowOff>9525</xdr:rowOff>
    </xdr:to>
    <xdr:sp macro="" textlink="">
      <xdr:nvSpPr>
        <xdr:cNvPr id="316297" name="Rectangle 28"/>
        <xdr:cNvSpPr>
          <a:spLocks noChangeArrowheads="1"/>
        </xdr:cNvSpPr>
      </xdr:nvSpPr>
      <xdr:spPr bwMode="auto">
        <a:xfrm>
          <a:off x="76352400" y="9439275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103</xdr:col>
      <xdr:colOff>438150</xdr:colOff>
      <xdr:row>44</xdr:row>
      <xdr:rowOff>66675</xdr:rowOff>
    </xdr:from>
    <xdr:to>
      <xdr:col>104</xdr:col>
      <xdr:colOff>9525</xdr:colOff>
      <xdr:row>45</xdr:row>
      <xdr:rowOff>9525</xdr:rowOff>
    </xdr:to>
    <xdr:sp macro="" textlink="">
      <xdr:nvSpPr>
        <xdr:cNvPr id="316298" name="Rectangle 28"/>
        <xdr:cNvSpPr>
          <a:spLocks noChangeArrowheads="1"/>
        </xdr:cNvSpPr>
      </xdr:nvSpPr>
      <xdr:spPr bwMode="auto">
        <a:xfrm>
          <a:off x="76352400" y="9439275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103</xdr:col>
      <xdr:colOff>438150</xdr:colOff>
      <xdr:row>44</xdr:row>
      <xdr:rowOff>66675</xdr:rowOff>
    </xdr:from>
    <xdr:to>
      <xdr:col>104</xdr:col>
      <xdr:colOff>9525</xdr:colOff>
      <xdr:row>45</xdr:row>
      <xdr:rowOff>9525</xdr:rowOff>
    </xdr:to>
    <xdr:sp macro="" textlink="">
      <xdr:nvSpPr>
        <xdr:cNvPr id="316299" name="Rectangle 28"/>
        <xdr:cNvSpPr>
          <a:spLocks noChangeArrowheads="1"/>
        </xdr:cNvSpPr>
      </xdr:nvSpPr>
      <xdr:spPr bwMode="auto">
        <a:xfrm>
          <a:off x="76352400" y="9439275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103</xdr:col>
      <xdr:colOff>438150</xdr:colOff>
      <xdr:row>44</xdr:row>
      <xdr:rowOff>66675</xdr:rowOff>
    </xdr:from>
    <xdr:to>
      <xdr:col>104</xdr:col>
      <xdr:colOff>9525</xdr:colOff>
      <xdr:row>45</xdr:row>
      <xdr:rowOff>9525</xdr:rowOff>
    </xdr:to>
    <xdr:sp macro="" textlink="">
      <xdr:nvSpPr>
        <xdr:cNvPr id="316300" name="Rectangle 28"/>
        <xdr:cNvSpPr>
          <a:spLocks noChangeArrowheads="1"/>
        </xdr:cNvSpPr>
      </xdr:nvSpPr>
      <xdr:spPr bwMode="auto">
        <a:xfrm>
          <a:off x="76352400" y="9439275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103</xdr:col>
      <xdr:colOff>438150</xdr:colOff>
      <xdr:row>45</xdr:row>
      <xdr:rowOff>57150</xdr:rowOff>
    </xdr:from>
    <xdr:to>
      <xdr:col>104</xdr:col>
      <xdr:colOff>9525</xdr:colOff>
      <xdr:row>45</xdr:row>
      <xdr:rowOff>200025</xdr:rowOff>
    </xdr:to>
    <xdr:sp macro="" textlink="">
      <xdr:nvSpPr>
        <xdr:cNvPr id="316301" name="Rectangle 28"/>
        <xdr:cNvSpPr>
          <a:spLocks noChangeArrowheads="1"/>
        </xdr:cNvSpPr>
      </xdr:nvSpPr>
      <xdr:spPr bwMode="auto">
        <a:xfrm>
          <a:off x="76352400" y="9629775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103</xdr:col>
      <xdr:colOff>438150</xdr:colOff>
      <xdr:row>45</xdr:row>
      <xdr:rowOff>57150</xdr:rowOff>
    </xdr:from>
    <xdr:to>
      <xdr:col>104</xdr:col>
      <xdr:colOff>9525</xdr:colOff>
      <xdr:row>45</xdr:row>
      <xdr:rowOff>200025</xdr:rowOff>
    </xdr:to>
    <xdr:sp macro="" textlink="">
      <xdr:nvSpPr>
        <xdr:cNvPr id="316302" name="Rectangle 28"/>
        <xdr:cNvSpPr>
          <a:spLocks noChangeArrowheads="1"/>
        </xdr:cNvSpPr>
      </xdr:nvSpPr>
      <xdr:spPr bwMode="auto">
        <a:xfrm>
          <a:off x="76352400" y="9629775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103</xdr:col>
      <xdr:colOff>438150</xdr:colOff>
      <xdr:row>45</xdr:row>
      <xdr:rowOff>57150</xdr:rowOff>
    </xdr:from>
    <xdr:to>
      <xdr:col>104</xdr:col>
      <xdr:colOff>9525</xdr:colOff>
      <xdr:row>45</xdr:row>
      <xdr:rowOff>200025</xdr:rowOff>
    </xdr:to>
    <xdr:sp macro="" textlink="">
      <xdr:nvSpPr>
        <xdr:cNvPr id="316303" name="Rectangle 28"/>
        <xdr:cNvSpPr>
          <a:spLocks noChangeArrowheads="1"/>
        </xdr:cNvSpPr>
      </xdr:nvSpPr>
      <xdr:spPr bwMode="auto">
        <a:xfrm>
          <a:off x="76352400" y="9629775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103</xdr:col>
      <xdr:colOff>438150</xdr:colOff>
      <xdr:row>45</xdr:row>
      <xdr:rowOff>57150</xdr:rowOff>
    </xdr:from>
    <xdr:to>
      <xdr:col>104</xdr:col>
      <xdr:colOff>9525</xdr:colOff>
      <xdr:row>45</xdr:row>
      <xdr:rowOff>200025</xdr:rowOff>
    </xdr:to>
    <xdr:sp macro="" textlink="">
      <xdr:nvSpPr>
        <xdr:cNvPr id="316304" name="Rectangle 28"/>
        <xdr:cNvSpPr>
          <a:spLocks noChangeArrowheads="1"/>
        </xdr:cNvSpPr>
      </xdr:nvSpPr>
      <xdr:spPr bwMode="auto">
        <a:xfrm>
          <a:off x="76352400" y="9629775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103</xdr:col>
      <xdr:colOff>438150</xdr:colOff>
      <xdr:row>45</xdr:row>
      <xdr:rowOff>57150</xdr:rowOff>
    </xdr:from>
    <xdr:to>
      <xdr:col>104</xdr:col>
      <xdr:colOff>9525</xdr:colOff>
      <xdr:row>45</xdr:row>
      <xdr:rowOff>200025</xdr:rowOff>
    </xdr:to>
    <xdr:sp macro="" textlink="">
      <xdr:nvSpPr>
        <xdr:cNvPr id="316305" name="Rectangle 28"/>
        <xdr:cNvSpPr>
          <a:spLocks noChangeArrowheads="1"/>
        </xdr:cNvSpPr>
      </xdr:nvSpPr>
      <xdr:spPr bwMode="auto">
        <a:xfrm>
          <a:off x="76352400" y="9629775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103</xdr:col>
      <xdr:colOff>438150</xdr:colOff>
      <xdr:row>45</xdr:row>
      <xdr:rowOff>57150</xdr:rowOff>
    </xdr:from>
    <xdr:to>
      <xdr:col>104</xdr:col>
      <xdr:colOff>9525</xdr:colOff>
      <xdr:row>45</xdr:row>
      <xdr:rowOff>200025</xdr:rowOff>
    </xdr:to>
    <xdr:sp macro="" textlink="">
      <xdr:nvSpPr>
        <xdr:cNvPr id="316306" name="Rectangle 28"/>
        <xdr:cNvSpPr>
          <a:spLocks noChangeArrowheads="1"/>
        </xdr:cNvSpPr>
      </xdr:nvSpPr>
      <xdr:spPr bwMode="auto">
        <a:xfrm>
          <a:off x="76352400" y="9629775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103</xdr:col>
      <xdr:colOff>438150</xdr:colOff>
      <xdr:row>46</xdr:row>
      <xdr:rowOff>38100</xdr:rowOff>
    </xdr:from>
    <xdr:to>
      <xdr:col>104</xdr:col>
      <xdr:colOff>9525</xdr:colOff>
      <xdr:row>46</xdr:row>
      <xdr:rowOff>190500</xdr:rowOff>
    </xdr:to>
    <xdr:sp macro="" textlink="">
      <xdr:nvSpPr>
        <xdr:cNvPr id="316307" name="Rectangle 28"/>
        <xdr:cNvSpPr>
          <a:spLocks noChangeArrowheads="1"/>
        </xdr:cNvSpPr>
      </xdr:nvSpPr>
      <xdr:spPr bwMode="auto">
        <a:xfrm>
          <a:off x="76352400" y="9810750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103</xdr:col>
      <xdr:colOff>438150</xdr:colOff>
      <xdr:row>46</xdr:row>
      <xdr:rowOff>38100</xdr:rowOff>
    </xdr:from>
    <xdr:to>
      <xdr:col>104</xdr:col>
      <xdr:colOff>9525</xdr:colOff>
      <xdr:row>46</xdr:row>
      <xdr:rowOff>190500</xdr:rowOff>
    </xdr:to>
    <xdr:sp macro="" textlink="">
      <xdr:nvSpPr>
        <xdr:cNvPr id="316308" name="Rectangle 28"/>
        <xdr:cNvSpPr>
          <a:spLocks noChangeArrowheads="1"/>
        </xdr:cNvSpPr>
      </xdr:nvSpPr>
      <xdr:spPr bwMode="auto">
        <a:xfrm>
          <a:off x="76352400" y="9810750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103</xdr:col>
      <xdr:colOff>438150</xdr:colOff>
      <xdr:row>46</xdr:row>
      <xdr:rowOff>38100</xdr:rowOff>
    </xdr:from>
    <xdr:to>
      <xdr:col>104</xdr:col>
      <xdr:colOff>9525</xdr:colOff>
      <xdr:row>46</xdr:row>
      <xdr:rowOff>190500</xdr:rowOff>
    </xdr:to>
    <xdr:sp macro="" textlink="">
      <xdr:nvSpPr>
        <xdr:cNvPr id="316309" name="Rectangle 28"/>
        <xdr:cNvSpPr>
          <a:spLocks noChangeArrowheads="1"/>
        </xdr:cNvSpPr>
      </xdr:nvSpPr>
      <xdr:spPr bwMode="auto">
        <a:xfrm>
          <a:off x="76352400" y="9810750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103</xdr:col>
      <xdr:colOff>438150</xdr:colOff>
      <xdr:row>46</xdr:row>
      <xdr:rowOff>38100</xdr:rowOff>
    </xdr:from>
    <xdr:to>
      <xdr:col>104</xdr:col>
      <xdr:colOff>9525</xdr:colOff>
      <xdr:row>46</xdr:row>
      <xdr:rowOff>190500</xdr:rowOff>
    </xdr:to>
    <xdr:sp macro="" textlink="">
      <xdr:nvSpPr>
        <xdr:cNvPr id="316310" name="Rectangle 28"/>
        <xdr:cNvSpPr>
          <a:spLocks noChangeArrowheads="1"/>
        </xdr:cNvSpPr>
      </xdr:nvSpPr>
      <xdr:spPr bwMode="auto">
        <a:xfrm>
          <a:off x="76352400" y="9810750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103</xdr:col>
      <xdr:colOff>438150</xdr:colOff>
      <xdr:row>46</xdr:row>
      <xdr:rowOff>38100</xdr:rowOff>
    </xdr:from>
    <xdr:to>
      <xdr:col>104</xdr:col>
      <xdr:colOff>9525</xdr:colOff>
      <xdr:row>46</xdr:row>
      <xdr:rowOff>190500</xdr:rowOff>
    </xdr:to>
    <xdr:sp macro="" textlink="">
      <xdr:nvSpPr>
        <xdr:cNvPr id="316311" name="Rectangle 28"/>
        <xdr:cNvSpPr>
          <a:spLocks noChangeArrowheads="1"/>
        </xdr:cNvSpPr>
      </xdr:nvSpPr>
      <xdr:spPr bwMode="auto">
        <a:xfrm>
          <a:off x="76352400" y="9810750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103</xdr:col>
      <xdr:colOff>438150</xdr:colOff>
      <xdr:row>46</xdr:row>
      <xdr:rowOff>38100</xdr:rowOff>
    </xdr:from>
    <xdr:to>
      <xdr:col>104</xdr:col>
      <xdr:colOff>9525</xdr:colOff>
      <xdr:row>46</xdr:row>
      <xdr:rowOff>190500</xdr:rowOff>
    </xdr:to>
    <xdr:sp macro="" textlink="">
      <xdr:nvSpPr>
        <xdr:cNvPr id="316312" name="Rectangle 28"/>
        <xdr:cNvSpPr>
          <a:spLocks noChangeArrowheads="1"/>
        </xdr:cNvSpPr>
      </xdr:nvSpPr>
      <xdr:spPr bwMode="auto">
        <a:xfrm>
          <a:off x="76352400" y="9810750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103</xdr:col>
      <xdr:colOff>438150</xdr:colOff>
      <xdr:row>47</xdr:row>
      <xdr:rowOff>38100</xdr:rowOff>
    </xdr:from>
    <xdr:to>
      <xdr:col>104</xdr:col>
      <xdr:colOff>9525</xdr:colOff>
      <xdr:row>47</xdr:row>
      <xdr:rowOff>190500</xdr:rowOff>
    </xdr:to>
    <xdr:sp macro="" textlink="">
      <xdr:nvSpPr>
        <xdr:cNvPr id="316313" name="Rectangle 28"/>
        <xdr:cNvSpPr>
          <a:spLocks noChangeArrowheads="1"/>
        </xdr:cNvSpPr>
      </xdr:nvSpPr>
      <xdr:spPr bwMode="auto">
        <a:xfrm>
          <a:off x="76352400" y="10010775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103</xdr:col>
      <xdr:colOff>438150</xdr:colOff>
      <xdr:row>47</xdr:row>
      <xdr:rowOff>38100</xdr:rowOff>
    </xdr:from>
    <xdr:to>
      <xdr:col>104</xdr:col>
      <xdr:colOff>9525</xdr:colOff>
      <xdr:row>47</xdr:row>
      <xdr:rowOff>190500</xdr:rowOff>
    </xdr:to>
    <xdr:sp macro="" textlink="">
      <xdr:nvSpPr>
        <xdr:cNvPr id="316314" name="Rectangle 28"/>
        <xdr:cNvSpPr>
          <a:spLocks noChangeArrowheads="1"/>
        </xdr:cNvSpPr>
      </xdr:nvSpPr>
      <xdr:spPr bwMode="auto">
        <a:xfrm>
          <a:off x="76352400" y="10010775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103</xdr:col>
      <xdr:colOff>438150</xdr:colOff>
      <xdr:row>47</xdr:row>
      <xdr:rowOff>38100</xdr:rowOff>
    </xdr:from>
    <xdr:to>
      <xdr:col>104</xdr:col>
      <xdr:colOff>9525</xdr:colOff>
      <xdr:row>47</xdr:row>
      <xdr:rowOff>190500</xdr:rowOff>
    </xdr:to>
    <xdr:sp macro="" textlink="">
      <xdr:nvSpPr>
        <xdr:cNvPr id="316315" name="Rectangle 28"/>
        <xdr:cNvSpPr>
          <a:spLocks noChangeArrowheads="1"/>
        </xdr:cNvSpPr>
      </xdr:nvSpPr>
      <xdr:spPr bwMode="auto">
        <a:xfrm>
          <a:off x="76352400" y="10010775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103</xdr:col>
      <xdr:colOff>438150</xdr:colOff>
      <xdr:row>47</xdr:row>
      <xdr:rowOff>38100</xdr:rowOff>
    </xdr:from>
    <xdr:to>
      <xdr:col>104</xdr:col>
      <xdr:colOff>9525</xdr:colOff>
      <xdr:row>47</xdr:row>
      <xdr:rowOff>190500</xdr:rowOff>
    </xdr:to>
    <xdr:sp macro="" textlink="">
      <xdr:nvSpPr>
        <xdr:cNvPr id="316316" name="Rectangle 28"/>
        <xdr:cNvSpPr>
          <a:spLocks noChangeArrowheads="1"/>
        </xdr:cNvSpPr>
      </xdr:nvSpPr>
      <xdr:spPr bwMode="auto">
        <a:xfrm>
          <a:off x="76352400" y="10010775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103</xdr:col>
      <xdr:colOff>438150</xdr:colOff>
      <xdr:row>47</xdr:row>
      <xdr:rowOff>38100</xdr:rowOff>
    </xdr:from>
    <xdr:to>
      <xdr:col>104</xdr:col>
      <xdr:colOff>9525</xdr:colOff>
      <xdr:row>47</xdr:row>
      <xdr:rowOff>190500</xdr:rowOff>
    </xdr:to>
    <xdr:sp macro="" textlink="">
      <xdr:nvSpPr>
        <xdr:cNvPr id="316317" name="Rectangle 28"/>
        <xdr:cNvSpPr>
          <a:spLocks noChangeArrowheads="1"/>
        </xdr:cNvSpPr>
      </xdr:nvSpPr>
      <xdr:spPr bwMode="auto">
        <a:xfrm>
          <a:off x="76352400" y="10010775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103</xdr:col>
      <xdr:colOff>438150</xdr:colOff>
      <xdr:row>47</xdr:row>
      <xdr:rowOff>38100</xdr:rowOff>
    </xdr:from>
    <xdr:to>
      <xdr:col>104</xdr:col>
      <xdr:colOff>9525</xdr:colOff>
      <xdr:row>47</xdr:row>
      <xdr:rowOff>190500</xdr:rowOff>
    </xdr:to>
    <xdr:sp macro="" textlink="">
      <xdr:nvSpPr>
        <xdr:cNvPr id="316318" name="Rectangle 28"/>
        <xdr:cNvSpPr>
          <a:spLocks noChangeArrowheads="1"/>
        </xdr:cNvSpPr>
      </xdr:nvSpPr>
      <xdr:spPr bwMode="auto">
        <a:xfrm>
          <a:off x="76352400" y="10010775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103</xdr:col>
      <xdr:colOff>438150</xdr:colOff>
      <xdr:row>48</xdr:row>
      <xdr:rowOff>28575</xdr:rowOff>
    </xdr:from>
    <xdr:to>
      <xdr:col>104</xdr:col>
      <xdr:colOff>9525</xdr:colOff>
      <xdr:row>48</xdr:row>
      <xdr:rowOff>190500</xdr:rowOff>
    </xdr:to>
    <xdr:sp macro="" textlink="">
      <xdr:nvSpPr>
        <xdr:cNvPr id="316319" name="Rectangle 28"/>
        <xdr:cNvSpPr>
          <a:spLocks noChangeArrowheads="1"/>
        </xdr:cNvSpPr>
      </xdr:nvSpPr>
      <xdr:spPr bwMode="auto">
        <a:xfrm>
          <a:off x="76352400" y="10201275"/>
          <a:ext cx="190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103</xdr:col>
      <xdr:colOff>438150</xdr:colOff>
      <xdr:row>48</xdr:row>
      <xdr:rowOff>28575</xdr:rowOff>
    </xdr:from>
    <xdr:to>
      <xdr:col>104</xdr:col>
      <xdr:colOff>9525</xdr:colOff>
      <xdr:row>48</xdr:row>
      <xdr:rowOff>190500</xdr:rowOff>
    </xdr:to>
    <xdr:sp macro="" textlink="">
      <xdr:nvSpPr>
        <xdr:cNvPr id="316320" name="Rectangle 28"/>
        <xdr:cNvSpPr>
          <a:spLocks noChangeArrowheads="1"/>
        </xdr:cNvSpPr>
      </xdr:nvSpPr>
      <xdr:spPr bwMode="auto">
        <a:xfrm>
          <a:off x="76352400" y="10201275"/>
          <a:ext cx="190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103</xdr:col>
      <xdr:colOff>438150</xdr:colOff>
      <xdr:row>48</xdr:row>
      <xdr:rowOff>28575</xdr:rowOff>
    </xdr:from>
    <xdr:to>
      <xdr:col>104</xdr:col>
      <xdr:colOff>9525</xdr:colOff>
      <xdr:row>48</xdr:row>
      <xdr:rowOff>190500</xdr:rowOff>
    </xdr:to>
    <xdr:sp macro="" textlink="">
      <xdr:nvSpPr>
        <xdr:cNvPr id="316321" name="Rectangle 28"/>
        <xdr:cNvSpPr>
          <a:spLocks noChangeArrowheads="1"/>
        </xdr:cNvSpPr>
      </xdr:nvSpPr>
      <xdr:spPr bwMode="auto">
        <a:xfrm>
          <a:off x="76352400" y="10201275"/>
          <a:ext cx="190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103</xdr:col>
      <xdr:colOff>438150</xdr:colOff>
      <xdr:row>48</xdr:row>
      <xdr:rowOff>28575</xdr:rowOff>
    </xdr:from>
    <xdr:to>
      <xdr:col>104</xdr:col>
      <xdr:colOff>9525</xdr:colOff>
      <xdr:row>48</xdr:row>
      <xdr:rowOff>190500</xdr:rowOff>
    </xdr:to>
    <xdr:sp macro="" textlink="">
      <xdr:nvSpPr>
        <xdr:cNvPr id="316322" name="Rectangle 28"/>
        <xdr:cNvSpPr>
          <a:spLocks noChangeArrowheads="1"/>
        </xdr:cNvSpPr>
      </xdr:nvSpPr>
      <xdr:spPr bwMode="auto">
        <a:xfrm>
          <a:off x="76352400" y="10201275"/>
          <a:ext cx="190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103</xdr:col>
      <xdr:colOff>438150</xdr:colOff>
      <xdr:row>48</xdr:row>
      <xdr:rowOff>28575</xdr:rowOff>
    </xdr:from>
    <xdr:to>
      <xdr:col>104</xdr:col>
      <xdr:colOff>9525</xdr:colOff>
      <xdr:row>48</xdr:row>
      <xdr:rowOff>190500</xdr:rowOff>
    </xdr:to>
    <xdr:sp macro="" textlink="">
      <xdr:nvSpPr>
        <xdr:cNvPr id="316323" name="Rectangle 28"/>
        <xdr:cNvSpPr>
          <a:spLocks noChangeArrowheads="1"/>
        </xdr:cNvSpPr>
      </xdr:nvSpPr>
      <xdr:spPr bwMode="auto">
        <a:xfrm>
          <a:off x="76352400" y="10201275"/>
          <a:ext cx="190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103</xdr:col>
      <xdr:colOff>438150</xdr:colOff>
      <xdr:row>48</xdr:row>
      <xdr:rowOff>28575</xdr:rowOff>
    </xdr:from>
    <xdr:to>
      <xdr:col>104</xdr:col>
      <xdr:colOff>9525</xdr:colOff>
      <xdr:row>48</xdr:row>
      <xdr:rowOff>190500</xdr:rowOff>
    </xdr:to>
    <xdr:sp macro="" textlink="">
      <xdr:nvSpPr>
        <xdr:cNvPr id="316324" name="Rectangle 28"/>
        <xdr:cNvSpPr>
          <a:spLocks noChangeArrowheads="1"/>
        </xdr:cNvSpPr>
      </xdr:nvSpPr>
      <xdr:spPr bwMode="auto">
        <a:xfrm>
          <a:off x="76352400" y="10201275"/>
          <a:ext cx="190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103</xdr:col>
      <xdr:colOff>438150</xdr:colOff>
      <xdr:row>49</xdr:row>
      <xdr:rowOff>9525</xdr:rowOff>
    </xdr:from>
    <xdr:to>
      <xdr:col>104</xdr:col>
      <xdr:colOff>9525</xdr:colOff>
      <xdr:row>49</xdr:row>
      <xdr:rowOff>161925</xdr:rowOff>
    </xdr:to>
    <xdr:sp macro="" textlink="">
      <xdr:nvSpPr>
        <xdr:cNvPr id="316325" name="Rectangle 28"/>
        <xdr:cNvSpPr>
          <a:spLocks noChangeArrowheads="1"/>
        </xdr:cNvSpPr>
      </xdr:nvSpPr>
      <xdr:spPr bwMode="auto">
        <a:xfrm>
          <a:off x="76352400" y="10382250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103</xdr:col>
      <xdr:colOff>438150</xdr:colOff>
      <xdr:row>49</xdr:row>
      <xdr:rowOff>9525</xdr:rowOff>
    </xdr:from>
    <xdr:to>
      <xdr:col>104</xdr:col>
      <xdr:colOff>9525</xdr:colOff>
      <xdr:row>49</xdr:row>
      <xdr:rowOff>161925</xdr:rowOff>
    </xdr:to>
    <xdr:sp macro="" textlink="">
      <xdr:nvSpPr>
        <xdr:cNvPr id="316326" name="Rectangle 28"/>
        <xdr:cNvSpPr>
          <a:spLocks noChangeArrowheads="1"/>
        </xdr:cNvSpPr>
      </xdr:nvSpPr>
      <xdr:spPr bwMode="auto">
        <a:xfrm>
          <a:off x="76352400" y="10382250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103</xdr:col>
      <xdr:colOff>438150</xdr:colOff>
      <xdr:row>49</xdr:row>
      <xdr:rowOff>9525</xdr:rowOff>
    </xdr:from>
    <xdr:to>
      <xdr:col>104</xdr:col>
      <xdr:colOff>9525</xdr:colOff>
      <xdr:row>49</xdr:row>
      <xdr:rowOff>161925</xdr:rowOff>
    </xdr:to>
    <xdr:sp macro="" textlink="">
      <xdr:nvSpPr>
        <xdr:cNvPr id="316327" name="Rectangle 28"/>
        <xdr:cNvSpPr>
          <a:spLocks noChangeArrowheads="1"/>
        </xdr:cNvSpPr>
      </xdr:nvSpPr>
      <xdr:spPr bwMode="auto">
        <a:xfrm>
          <a:off x="76352400" y="10382250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103</xdr:col>
      <xdr:colOff>438150</xdr:colOff>
      <xdr:row>49</xdr:row>
      <xdr:rowOff>9525</xdr:rowOff>
    </xdr:from>
    <xdr:to>
      <xdr:col>104</xdr:col>
      <xdr:colOff>9525</xdr:colOff>
      <xdr:row>49</xdr:row>
      <xdr:rowOff>161925</xdr:rowOff>
    </xdr:to>
    <xdr:sp macro="" textlink="">
      <xdr:nvSpPr>
        <xdr:cNvPr id="316328" name="Rectangle 28"/>
        <xdr:cNvSpPr>
          <a:spLocks noChangeArrowheads="1"/>
        </xdr:cNvSpPr>
      </xdr:nvSpPr>
      <xdr:spPr bwMode="auto">
        <a:xfrm>
          <a:off x="76352400" y="10382250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103</xdr:col>
      <xdr:colOff>438150</xdr:colOff>
      <xdr:row>49</xdr:row>
      <xdr:rowOff>9525</xdr:rowOff>
    </xdr:from>
    <xdr:to>
      <xdr:col>104</xdr:col>
      <xdr:colOff>9525</xdr:colOff>
      <xdr:row>49</xdr:row>
      <xdr:rowOff>161925</xdr:rowOff>
    </xdr:to>
    <xdr:sp macro="" textlink="">
      <xdr:nvSpPr>
        <xdr:cNvPr id="316329" name="Rectangle 28"/>
        <xdr:cNvSpPr>
          <a:spLocks noChangeArrowheads="1"/>
        </xdr:cNvSpPr>
      </xdr:nvSpPr>
      <xdr:spPr bwMode="auto">
        <a:xfrm>
          <a:off x="76352400" y="10382250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103</xdr:col>
      <xdr:colOff>438150</xdr:colOff>
      <xdr:row>49</xdr:row>
      <xdr:rowOff>9525</xdr:rowOff>
    </xdr:from>
    <xdr:to>
      <xdr:col>104</xdr:col>
      <xdr:colOff>9525</xdr:colOff>
      <xdr:row>49</xdr:row>
      <xdr:rowOff>161925</xdr:rowOff>
    </xdr:to>
    <xdr:sp macro="" textlink="">
      <xdr:nvSpPr>
        <xdr:cNvPr id="316330" name="Rectangle 28"/>
        <xdr:cNvSpPr>
          <a:spLocks noChangeArrowheads="1"/>
        </xdr:cNvSpPr>
      </xdr:nvSpPr>
      <xdr:spPr bwMode="auto">
        <a:xfrm>
          <a:off x="76352400" y="10382250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103</xdr:col>
      <xdr:colOff>438150</xdr:colOff>
      <xdr:row>50</xdr:row>
      <xdr:rowOff>0</xdr:rowOff>
    </xdr:from>
    <xdr:to>
      <xdr:col>104</xdr:col>
      <xdr:colOff>9525</xdr:colOff>
      <xdr:row>50</xdr:row>
      <xdr:rowOff>142875</xdr:rowOff>
    </xdr:to>
    <xdr:sp macro="" textlink="">
      <xdr:nvSpPr>
        <xdr:cNvPr id="316331" name="Rectangle 28"/>
        <xdr:cNvSpPr>
          <a:spLocks noChangeArrowheads="1"/>
        </xdr:cNvSpPr>
      </xdr:nvSpPr>
      <xdr:spPr bwMode="auto">
        <a:xfrm>
          <a:off x="76352400" y="10572750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103</xdr:col>
      <xdr:colOff>438150</xdr:colOff>
      <xdr:row>50</xdr:row>
      <xdr:rowOff>0</xdr:rowOff>
    </xdr:from>
    <xdr:to>
      <xdr:col>104</xdr:col>
      <xdr:colOff>9525</xdr:colOff>
      <xdr:row>50</xdr:row>
      <xdr:rowOff>142875</xdr:rowOff>
    </xdr:to>
    <xdr:sp macro="" textlink="">
      <xdr:nvSpPr>
        <xdr:cNvPr id="316332" name="Rectangle 28"/>
        <xdr:cNvSpPr>
          <a:spLocks noChangeArrowheads="1"/>
        </xdr:cNvSpPr>
      </xdr:nvSpPr>
      <xdr:spPr bwMode="auto">
        <a:xfrm>
          <a:off x="76352400" y="10572750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103</xdr:col>
      <xdr:colOff>438150</xdr:colOff>
      <xdr:row>50</xdr:row>
      <xdr:rowOff>0</xdr:rowOff>
    </xdr:from>
    <xdr:to>
      <xdr:col>104</xdr:col>
      <xdr:colOff>9525</xdr:colOff>
      <xdr:row>50</xdr:row>
      <xdr:rowOff>142875</xdr:rowOff>
    </xdr:to>
    <xdr:sp macro="" textlink="">
      <xdr:nvSpPr>
        <xdr:cNvPr id="316333" name="Rectangle 28"/>
        <xdr:cNvSpPr>
          <a:spLocks noChangeArrowheads="1"/>
        </xdr:cNvSpPr>
      </xdr:nvSpPr>
      <xdr:spPr bwMode="auto">
        <a:xfrm>
          <a:off x="76352400" y="10572750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103</xdr:col>
      <xdr:colOff>438150</xdr:colOff>
      <xdr:row>50</xdr:row>
      <xdr:rowOff>0</xdr:rowOff>
    </xdr:from>
    <xdr:to>
      <xdr:col>104</xdr:col>
      <xdr:colOff>9525</xdr:colOff>
      <xdr:row>50</xdr:row>
      <xdr:rowOff>142875</xdr:rowOff>
    </xdr:to>
    <xdr:sp macro="" textlink="">
      <xdr:nvSpPr>
        <xdr:cNvPr id="316334" name="Rectangle 28"/>
        <xdr:cNvSpPr>
          <a:spLocks noChangeArrowheads="1"/>
        </xdr:cNvSpPr>
      </xdr:nvSpPr>
      <xdr:spPr bwMode="auto">
        <a:xfrm>
          <a:off x="76352400" y="10572750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103</xdr:col>
      <xdr:colOff>438150</xdr:colOff>
      <xdr:row>50</xdr:row>
      <xdr:rowOff>0</xdr:rowOff>
    </xdr:from>
    <xdr:to>
      <xdr:col>104</xdr:col>
      <xdr:colOff>9525</xdr:colOff>
      <xdr:row>50</xdr:row>
      <xdr:rowOff>142875</xdr:rowOff>
    </xdr:to>
    <xdr:sp macro="" textlink="">
      <xdr:nvSpPr>
        <xdr:cNvPr id="316335" name="Rectangle 28"/>
        <xdr:cNvSpPr>
          <a:spLocks noChangeArrowheads="1"/>
        </xdr:cNvSpPr>
      </xdr:nvSpPr>
      <xdr:spPr bwMode="auto">
        <a:xfrm>
          <a:off x="76352400" y="10572750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103</xdr:col>
      <xdr:colOff>438150</xdr:colOff>
      <xdr:row>50</xdr:row>
      <xdr:rowOff>0</xdr:rowOff>
    </xdr:from>
    <xdr:to>
      <xdr:col>104</xdr:col>
      <xdr:colOff>9525</xdr:colOff>
      <xdr:row>50</xdr:row>
      <xdr:rowOff>142875</xdr:rowOff>
    </xdr:to>
    <xdr:sp macro="" textlink="">
      <xdr:nvSpPr>
        <xdr:cNvPr id="316336" name="Rectangle 28"/>
        <xdr:cNvSpPr>
          <a:spLocks noChangeArrowheads="1"/>
        </xdr:cNvSpPr>
      </xdr:nvSpPr>
      <xdr:spPr bwMode="auto">
        <a:xfrm>
          <a:off x="76352400" y="10572750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0</xdr:colOff>
      <xdr:row>3</xdr:row>
      <xdr:rowOff>0</xdr:rowOff>
    </xdr:from>
    <xdr:to>
      <xdr:col>105</xdr:col>
      <xdr:colOff>190500</xdr:colOff>
      <xdr:row>7</xdr:row>
      <xdr:rowOff>123825</xdr:rowOff>
    </xdr:to>
    <xdr:sp macro="" textlink="">
      <xdr:nvSpPr>
        <xdr:cNvPr id="316337" name="Obdélník 1144"/>
        <xdr:cNvSpPr>
          <a:spLocks noChangeArrowheads="1"/>
        </xdr:cNvSpPr>
      </xdr:nvSpPr>
      <xdr:spPr bwMode="auto">
        <a:xfrm>
          <a:off x="76609575" y="1171575"/>
          <a:ext cx="190500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0</xdr:colOff>
      <xdr:row>10</xdr:row>
      <xdr:rowOff>0</xdr:rowOff>
    </xdr:from>
    <xdr:to>
      <xdr:col>105</xdr:col>
      <xdr:colOff>19050</xdr:colOff>
      <xdr:row>10</xdr:row>
      <xdr:rowOff>142875</xdr:rowOff>
    </xdr:to>
    <xdr:sp macro="" textlink="">
      <xdr:nvSpPr>
        <xdr:cNvPr id="316338" name="Rectangle 28"/>
        <xdr:cNvSpPr>
          <a:spLocks noChangeArrowheads="1"/>
        </xdr:cNvSpPr>
      </xdr:nvSpPr>
      <xdr:spPr bwMode="auto">
        <a:xfrm>
          <a:off x="76609575" y="2571750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0</xdr:colOff>
      <xdr:row>10</xdr:row>
      <xdr:rowOff>0</xdr:rowOff>
    </xdr:from>
    <xdr:to>
      <xdr:col>105</xdr:col>
      <xdr:colOff>19050</xdr:colOff>
      <xdr:row>10</xdr:row>
      <xdr:rowOff>142875</xdr:rowOff>
    </xdr:to>
    <xdr:sp macro="" textlink="">
      <xdr:nvSpPr>
        <xdr:cNvPr id="316339" name="Rectangle 28"/>
        <xdr:cNvSpPr>
          <a:spLocks noChangeArrowheads="1"/>
        </xdr:cNvSpPr>
      </xdr:nvSpPr>
      <xdr:spPr bwMode="auto">
        <a:xfrm>
          <a:off x="76609575" y="2571750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0</xdr:colOff>
      <xdr:row>10</xdr:row>
      <xdr:rowOff>0</xdr:rowOff>
    </xdr:from>
    <xdr:to>
      <xdr:col>105</xdr:col>
      <xdr:colOff>19050</xdr:colOff>
      <xdr:row>10</xdr:row>
      <xdr:rowOff>142875</xdr:rowOff>
    </xdr:to>
    <xdr:sp macro="" textlink="">
      <xdr:nvSpPr>
        <xdr:cNvPr id="316340" name="Rectangle 28"/>
        <xdr:cNvSpPr>
          <a:spLocks noChangeArrowheads="1"/>
        </xdr:cNvSpPr>
      </xdr:nvSpPr>
      <xdr:spPr bwMode="auto">
        <a:xfrm>
          <a:off x="76609575" y="2571750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0</xdr:colOff>
      <xdr:row>10</xdr:row>
      <xdr:rowOff>0</xdr:rowOff>
    </xdr:from>
    <xdr:to>
      <xdr:col>105</xdr:col>
      <xdr:colOff>19050</xdr:colOff>
      <xdr:row>10</xdr:row>
      <xdr:rowOff>142875</xdr:rowOff>
    </xdr:to>
    <xdr:sp macro="" textlink="">
      <xdr:nvSpPr>
        <xdr:cNvPr id="316341" name="Rectangle 27"/>
        <xdr:cNvSpPr>
          <a:spLocks noChangeArrowheads="1"/>
        </xdr:cNvSpPr>
      </xdr:nvSpPr>
      <xdr:spPr bwMode="auto">
        <a:xfrm>
          <a:off x="76609575" y="2571750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0</xdr:colOff>
      <xdr:row>10</xdr:row>
      <xdr:rowOff>0</xdr:rowOff>
    </xdr:from>
    <xdr:to>
      <xdr:col>105</xdr:col>
      <xdr:colOff>19050</xdr:colOff>
      <xdr:row>10</xdr:row>
      <xdr:rowOff>142875</xdr:rowOff>
    </xdr:to>
    <xdr:sp macro="" textlink="">
      <xdr:nvSpPr>
        <xdr:cNvPr id="316342" name="Rectangle 28"/>
        <xdr:cNvSpPr>
          <a:spLocks noChangeArrowheads="1"/>
        </xdr:cNvSpPr>
      </xdr:nvSpPr>
      <xdr:spPr bwMode="auto">
        <a:xfrm>
          <a:off x="76609575" y="2571750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0</xdr:colOff>
      <xdr:row>10</xdr:row>
      <xdr:rowOff>0</xdr:rowOff>
    </xdr:from>
    <xdr:to>
      <xdr:col>105</xdr:col>
      <xdr:colOff>19050</xdr:colOff>
      <xdr:row>10</xdr:row>
      <xdr:rowOff>142875</xdr:rowOff>
    </xdr:to>
    <xdr:sp macro="" textlink="">
      <xdr:nvSpPr>
        <xdr:cNvPr id="316343" name="Rectangle 27"/>
        <xdr:cNvSpPr>
          <a:spLocks noChangeArrowheads="1"/>
        </xdr:cNvSpPr>
      </xdr:nvSpPr>
      <xdr:spPr bwMode="auto">
        <a:xfrm>
          <a:off x="76609575" y="2571750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0</xdr:colOff>
      <xdr:row>10</xdr:row>
      <xdr:rowOff>0</xdr:rowOff>
    </xdr:from>
    <xdr:to>
      <xdr:col>105</xdr:col>
      <xdr:colOff>19050</xdr:colOff>
      <xdr:row>10</xdr:row>
      <xdr:rowOff>142875</xdr:rowOff>
    </xdr:to>
    <xdr:sp macro="" textlink="">
      <xdr:nvSpPr>
        <xdr:cNvPr id="316344" name="Rectangle 28"/>
        <xdr:cNvSpPr>
          <a:spLocks noChangeArrowheads="1"/>
        </xdr:cNvSpPr>
      </xdr:nvSpPr>
      <xdr:spPr bwMode="auto">
        <a:xfrm>
          <a:off x="76609575" y="2571750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0</xdr:colOff>
      <xdr:row>10</xdr:row>
      <xdr:rowOff>0</xdr:rowOff>
    </xdr:from>
    <xdr:to>
      <xdr:col>105</xdr:col>
      <xdr:colOff>19050</xdr:colOff>
      <xdr:row>10</xdr:row>
      <xdr:rowOff>142875</xdr:rowOff>
    </xdr:to>
    <xdr:sp macro="" textlink="">
      <xdr:nvSpPr>
        <xdr:cNvPr id="316345" name="Rectangle 28"/>
        <xdr:cNvSpPr>
          <a:spLocks noChangeArrowheads="1"/>
        </xdr:cNvSpPr>
      </xdr:nvSpPr>
      <xdr:spPr bwMode="auto">
        <a:xfrm>
          <a:off x="76609575" y="2571750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0</xdr:colOff>
      <xdr:row>10</xdr:row>
      <xdr:rowOff>0</xdr:rowOff>
    </xdr:from>
    <xdr:to>
      <xdr:col>105</xdr:col>
      <xdr:colOff>19050</xdr:colOff>
      <xdr:row>10</xdr:row>
      <xdr:rowOff>142875</xdr:rowOff>
    </xdr:to>
    <xdr:sp macro="" textlink="">
      <xdr:nvSpPr>
        <xdr:cNvPr id="316346" name="Rectangle 28"/>
        <xdr:cNvSpPr>
          <a:spLocks noChangeArrowheads="1"/>
        </xdr:cNvSpPr>
      </xdr:nvSpPr>
      <xdr:spPr bwMode="auto">
        <a:xfrm>
          <a:off x="76609575" y="2571750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0</xdr:colOff>
      <xdr:row>10</xdr:row>
      <xdr:rowOff>0</xdr:rowOff>
    </xdr:from>
    <xdr:to>
      <xdr:col>105</xdr:col>
      <xdr:colOff>19050</xdr:colOff>
      <xdr:row>10</xdr:row>
      <xdr:rowOff>142875</xdr:rowOff>
    </xdr:to>
    <xdr:sp macro="" textlink="">
      <xdr:nvSpPr>
        <xdr:cNvPr id="316347" name="Rectangle 28"/>
        <xdr:cNvSpPr>
          <a:spLocks noChangeArrowheads="1"/>
        </xdr:cNvSpPr>
      </xdr:nvSpPr>
      <xdr:spPr bwMode="auto">
        <a:xfrm>
          <a:off x="76609575" y="2571750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0</xdr:colOff>
      <xdr:row>10</xdr:row>
      <xdr:rowOff>0</xdr:rowOff>
    </xdr:from>
    <xdr:to>
      <xdr:col>105</xdr:col>
      <xdr:colOff>19050</xdr:colOff>
      <xdr:row>10</xdr:row>
      <xdr:rowOff>142875</xdr:rowOff>
    </xdr:to>
    <xdr:sp macro="" textlink="">
      <xdr:nvSpPr>
        <xdr:cNvPr id="316348" name="Rectangle 27"/>
        <xdr:cNvSpPr>
          <a:spLocks noChangeArrowheads="1"/>
        </xdr:cNvSpPr>
      </xdr:nvSpPr>
      <xdr:spPr bwMode="auto">
        <a:xfrm>
          <a:off x="76609575" y="2571750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0</xdr:colOff>
      <xdr:row>10</xdr:row>
      <xdr:rowOff>0</xdr:rowOff>
    </xdr:from>
    <xdr:to>
      <xdr:col>105</xdr:col>
      <xdr:colOff>19050</xdr:colOff>
      <xdr:row>10</xdr:row>
      <xdr:rowOff>142875</xdr:rowOff>
    </xdr:to>
    <xdr:sp macro="" textlink="">
      <xdr:nvSpPr>
        <xdr:cNvPr id="316349" name="Rectangle 27"/>
        <xdr:cNvSpPr>
          <a:spLocks noChangeArrowheads="1"/>
        </xdr:cNvSpPr>
      </xdr:nvSpPr>
      <xdr:spPr bwMode="auto">
        <a:xfrm>
          <a:off x="76609575" y="2571750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0</xdr:colOff>
      <xdr:row>10</xdr:row>
      <xdr:rowOff>0</xdr:rowOff>
    </xdr:from>
    <xdr:to>
      <xdr:col>105</xdr:col>
      <xdr:colOff>19050</xdr:colOff>
      <xdr:row>10</xdr:row>
      <xdr:rowOff>142875</xdr:rowOff>
    </xdr:to>
    <xdr:sp macro="" textlink="">
      <xdr:nvSpPr>
        <xdr:cNvPr id="316350" name="Rectangle 28"/>
        <xdr:cNvSpPr>
          <a:spLocks noChangeArrowheads="1"/>
        </xdr:cNvSpPr>
      </xdr:nvSpPr>
      <xdr:spPr bwMode="auto">
        <a:xfrm>
          <a:off x="76609575" y="2571750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0</xdr:colOff>
      <xdr:row>10</xdr:row>
      <xdr:rowOff>0</xdr:rowOff>
    </xdr:from>
    <xdr:to>
      <xdr:col>105</xdr:col>
      <xdr:colOff>19050</xdr:colOff>
      <xdr:row>10</xdr:row>
      <xdr:rowOff>142875</xdr:rowOff>
    </xdr:to>
    <xdr:sp macro="" textlink="">
      <xdr:nvSpPr>
        <xdr:cNvPr id="316351" name="Rectangle 28"/>
        <xdr:cNvSpPr>
          <a:spLocks noChangeArrowheads="1"/>
        </xdr:cNvSpPr>
      </xdr:nvSpPr>
      <xdr:spPr bwMode="auto">
        <a:xfrm>
          <a:off x="76609575" y="2571750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0</xdr:colOff>
      <xdr:row>10</xdr:row>
      <xdr:rowOff>0</xdr:rowOff>
    </xdr:from>
    <xdr:to>
      <xdr:col>105</xdr:col>
      <xdr:colOff>19050</xdr:colOff>
      <xdr:row>10</xdr:row>
      <xdr:rowOff>142875</xdr:rowOff>
    </xdr:to>
    <xdr:sp macro="" textlink="">
      <xdr:nvSpPr>
        <xdr:cNvPr id="316352" name="Rectangle 28"/>
        <xdr:cNvSpPr>
          <a:spLocks noChangeArrowheads="1"/>
        </xdr:cNvSpPr>
      </xdr:nvSpPr>
      <xdr:spPr bwMode="auto">
        <a:xfrm>
          <a:off x="76609575" y="2571750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0</xdr:colOff>
      <xdr:row>10</xdr:row>
      <xdr:rowOff>0</xdr:rowOff>
    </xdr:from>
    <xdr:to>
      <xdr:col>105</xdr:col>
      <xdr:colOff>19050</xdr:colOff>
      <xdr:row>10</xdr:row>
      <xdr:rowOff>142875</xdr:rowOff>
    </xdr:to>
    <xdr:sp macro="" textlink="">
      <xdr:nvSpPr>
        <xdr:cNvPr id="316353" name="Rectangle 27"/>
        <xdr:cNvSpPr>
          <a:spLocks noChangeArrowheads="1"/>
        </xdr:cNvSpPr>
      </xdr:nvSpPr>
      <xdr:spPr bwMode="auto">
        <a:xfrm>
          <a:off x="76609575" y="2571750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0</xdr:colOff>
      <xdr:row>10</xdr:row>
      <xdr:rowOff>0</xdr:rowOff>
    </xdr:from>
    <xdr:to>
      <xdr:col>105</xdr:col>
      <xdr:colOff>19050</xdr:colOff>
      <xdr:row>10</xdr:row>
      <xdr:rowOff>142875</xdr:rowOff>
    </xdr:to>
    <xdr:sp macro="" textlink="">
      <xdr:nvSpPr>
        <xdr:cNvPr id="316354" name="Rectangle 27"/>
        <xdr:cNvSpPr>
          <a:spLocks noChangeArrowheads="1"/>
        </xdr:cNvSpPr>
      </xdr:nvSpPr>
      <xdr:spPr bwMode="auto">
        <a:xfrm>
          <a:off x="76609575" y="2571750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0</xdr:colOff>
      <xdr:row>10</xdr:row>
      <xdr:rowOff>0</xdr:rowOff>
    </xdr:from>
    <xdr:to>
      <xdr:col>105</xdr:col>
      <xdr:colOff>19050</xdr:colOff>
      <xdr:row>10</xdr:row>
      <xdr:rowOff>142875</xdr:rowOff>
    </xdr:to>
    <xdr:sp macro="" textlink="">
      <xdr:nvSpPr>
        <xdr:cNvPr id="316355" name="Rectangle 28"/>
        <xdr:cNvSpPr>
          <a:spLocks noChangeArrowheads="1"/>
        </xdr:cNvSpPr>
      </xdr:nvSpPr>
      <xdr:spPr bwMode="auto">
        <a:xfrm>
          <a:off x="76609575" y="2571750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0</xdr:colOff>
      <xdr:row>10</xdr:row>
      <xdr:rowOff>0</xdr:rowOff>
    </xdr:from>
    <xdr:to>
      <xdr:col>105</xdr:col>
      <xdr:colOff>19050</xdr:colOff>
      <xdr:row>10</xdr:row>
      <xdr:rowOff>142875</xdr:rowOff>
    </xdr:to>
    <xdr:sp macro="" textlink="">
      <xdr:nvSpPr>
        <xdr:cNvPr id="316356" name="Rectangle 28"/>
        <xdr:cNvSpPr>
          <a:spLocks noChangeArrowheads="1"/>
        </xdr:cNvSpPr>
      </xdr:nvSpPr>
      <xdr:spPr bwMode="auto">
        <a:xfrm>
          <a:off x="76609575" y="2571750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0</xdr:colOff>
      <xdr:row>10</xdr:row>
      <xdr:rowOff>0</xdr:rowOff>
    </xdr:from>
    <xdr:to>
      <xdr:col>105</xdr:col>
      <xdr:colOff>19050</xdr:colOff>
      <xdr:row>10</xdr:row>
      <xdr:rowOff>142875</xdr:rowOff>
    </xdr:to>
    <xdr:sp macro="" textlink="">
      <xdr:nvSpPr>
        <xdr:cNvPr id="316357" name="Rectangle 28"/>
        <xdr:cNvSpPr>
          <a:spLocks noChangeArrowheads="1"/>
        </xdr:cNvSpPr>
      </xdr:nvSpPr>
      <xdr:spPr bwMode="auto">
        <a:xfrm>
          <a:off x="76609575" y="2571750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0</xdr:colOff>
      <xdr:row>10</xdr:row>
      <xdr:rowOff>0</xdr:rowOff>
    </xdr:from>
    <xdr:to>
      <xdr:col>105</xdr:col>
      <xdr:colOff>19050</xdr:colOff>
      <xdr:row>10</xdr:row>
      <xdr:rowOff>142875</xdr:rowOff>
    </xdr:to>
    <xdr:sp macro="" textlink="">
      <xdr:nvSpPr>
        <xdr:cNvPr id="316358" name="Rectangle 28"/>
        <xdr:cNvSpPr>
          <a:spLocks noChangeArrowheads="1"/>
        </xdr:cNvSpPr>
      </xdr:nvSpPr>
      <xdr:spPr bwMode="auto">
        <a:xfrm>
          <a:off x="76609575" y="2571750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0</xdr:colOff>
      <xdr:row>10</xdr:row>
      <xdr:rowOff>0</xdr:rowOff>
    </xdr:from>
    <xdr:to>
      <xdr:col>105</xdr:col>
      <xdr:colOff>19050</xdr:colOff>
      <xdr:row>10</xdr:row>
      <xdr:rowOff>142875</xdr:rowOff>
    </xdr:to>
    <xdr:sp macro="" textlink="">
      <xdr:nvSpPr>
        <xdr:cNvPr id="316359" name="Rectangle 28"/>
        <xdr:cNvSpPr>
          <a:spLocks noChangeArrowheads="1"/>
        </xdr:cNvSpPr>
      </xdr:nvSpPr>
      <xdr:spPr bwMode="auto">
        <a:xfrm>
          <a:off x="76609575" y="2571750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0</xdr:colOff>
      <xdr:row>10</xdr:row>
      <xdr:rowOff>0</xdr:rowOff>
    </xdr:from>
    <xdr:to>
      <xdr:col>105</xdr:col>
      <xdr:colOff>19050</xdr:colOff>
      <xdr:row>10</xdr:row>
      <xdr:rowOff>142875</xdr:rowOff>
    </xdr:to>
    <xdr:sp macro="" textlink="">
      <xdr:nvSpPr>
        <xdr:cNvPr id="316360" name="Rectangle 27"/>
        <xdr:cNvSpPr>
          <a:spLocks noChangeArrowheads="1"/>
        </xdr:cNvSpPr>
      </xdr:nvSpPr>
      <xdr:spPr bwMode="auto">
        <a:xfrm>
          <a:off x="76609575" y="2571750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0</xdr:colOff>
      <xdr:row>10</xdr:row>
      <xdr:rowOff>0</xdr:rowOff>
    </xdr:from>
    <xdr:to>
      <xdr:col>105</xdr:col>
      <xdr:colOff>19050</xdr:colOff>
      <xdr:row>10</xdr:row>
      <xdr:rowOff>142875</xdr:rowOff>
    </xdr:to>
    <xdr:sp macro="" textlink="">
      <xdr:nvSpPr>
        <xdr:cNvPr id="316361" name="Rectangle 28"/>
        <xdr:cNvSpPr>
          <a:spLocks noChangeArrowheads="1"/>
        </xdr:cNvSpPr>
      </xdr:nvSpPr>
      <xdr:spPr bwMode="auto">
        <a:xfrm>
          <a:off x="76609575" y="2571750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0</xdr:colOff>
      <xdr:row>10</xdr:row>
      <xdr:rowOff>0</xdr:rowOff>
    </xdr:from>
    <xdr:to>
      <xdr:col>105</xdr:col>
      <xdr:colOff>19050</xdr:colOff>
      <xdr:row>10</xdr:row>
      <xdr:rowOff>142875</xdr:rowOff>
    </xdr:to>
    <xdr:sp macro="" textlink="">
      <xdr:nvSpPr>
        <xdr:cNvPr id="316362" name="Rectangle 27"/>
        <xdr:cNvSpPr>
          <a:spLocks noChangeArrowheads="1"/>
        </xdr:cNvSpPr>
      </xdr:nvSpPr>
      <xdr:spPr bwMode="auto">
        <a:xfrm>
          <a:off x="76609575" y="2571750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0</xdr:colOff>
      <xdr:row>10</xdr:row>
      <xdr:rowOff>0</xdr:rowOff>
    </xdr:from>
    <xdr:to>
      <xdr:col>105</xdr:col>
      <xdr:colOff>19050</xdr:colOff>
      <xdr:row>10</xdr:row>
      <xdr:rowOff>142875</xdr:rowOff>
    </xdr:to>
    <xdr:sp macro="" textlink="">
      <xdr:nvSpPr>
        <xdr:cNvPr id="316363" name="Rectangle 28"/>
        <xdr:cNvSpPr>
          <a:spLocks noChangeArrowheads="1"/>
        </xdr:cNvSpPr>
      </xdr:nvSpPr>
      <xdr:spPr bwMode="auto">
        <a:xfrm>
          <a:off x="76609575" y="2571750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0</xdr:colOff>
      <xdr:row>10</xdr:row>
      <xdr:rowOff>0</xdr:rowOff>
    </xdr:from>
    <xdr:to>
      <xdr:col>105</xdr:col>
      <xdr:colOff>19050</xdr:colOff>
      <xdr:row>10</xdr:row>
      <xdr:rowOff>142875</xdr:rowOff>
    </xdr:to>
    <xdr:sp macro="" textlink="">
      <xdr:nvSpPr>
        <xdr:cNvPr id="316364" name="Rectangle 28"/>
        <xdr:cNvSpPr>
          <a:spLocks noChangeArrowheads="1"/>
        </xdr:cNvSpPr>
      </xdr:nvSpPr>
      <xdr:spPr bwMode="auto">
        <a:xfrm>
          <a:off x="76609575" y="2571750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0</xdr:colOff>
      <xdr:row>10</xdr:row>
      <xdr:rowOff>0</xdr:rowOff>
    </xdr:from>
    <xdr:to>
      <xdr:col>105</xdr:col>
      <xdr:colOff>19050</xdr:colOff>
      <xdr:row>10</xdr:row>
      <xdr:rowOff>142875</xdr:rowOff>
    </xdr:to>
    <xdr:sp macro="" textlink="">
      <xdr:nvSpPr>
        <xdr:cNvPr id="316365" name="Rectangle 28"/>
        <xdr:cNvSpPr>
          <a:spLocks noChangeArrowheads="1"/>
        </xdr:cNvSpPr>
      </xdr:nvSpPr>
      <xdr:spPr bwMode="auto">
        <a:xfrm>
          <a:off x="76609575" y="2571750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0</xdr:colOff>
      <xdr:row>10</xdr:row>
      <xdr:rowOff>0</xdr:rowOff>
    </xdr:from>
    <xdr:to>
      <xdr:col>105</xdr:col>
      <xdr:colOff>19050</xdr:colOff>
      <xdr:row>10</xdr:row>
      <xdr:rowOff>142875</xdr:rowOff>
    </xdr:to>
    <xdr:sp macro="" textlink="">
      <xdr:nvSpPr>
        <xdr:cNvPr id="316366" name="Rectangle 28"/>
        <xdr:cNvSpPr>
          <a:spLocks noChangeArrowheads="1"/>
        </xdr:cNvSpPr>
      </xdr:nvSpPr>
      <xdr:spPr bwMode="auto">
        <a:xfrm>
          <a:off x="76609575" y="2571750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0</xdr:colOff>
      <xdr:row>10</xdr:row>
      <xdr:rowOff>0</xdr:rowOff>
    </xdr:from>
    <xdr:to>
      <xdr:col>105</xdr:col>
      <xdr:colOff>19050</xdr:colOff>
      <xdr:row>10</xdr:row>
      <xdr:rowOff>142875</xdr:rowOff>
    </xdr:to>
    <xdr:sp macro="" textlink="">
      <xdr:nvSpPr>
        <xdr:cNvPr id="316367" name="Rectangle 27"/>
        <xdr:cNvSpPr>
          <a:spLocks noChangeArrowheads="1"/>
        </xdr:cNvSpPr>
      </xdr:nvSpPr>
      <xdr:spPr bwMode="auto">
        <a:xfrm>
          <a:off x="76609575" y="2571750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0</xdr:colOff>
      <xdr:row>10</xdr:row>
      <xdr:rowOff>0</xdr:rowOff>
    </xdr:from>
    <xdr:to>
      <xdr:col>105</xdr:col>
      <xdr:colOff>19050</xdr:colOff>
      <xdr:row>10</xdr:row>
      <xdr:rowOff>142875</xdr:rowOff>
    </xdr:to>
    <xdr:sp macro="" textlink="">
      <xdr:nvSpPr>
        <xdr:cNvPr id="316368" name="Rectangle 27"/>
        <xdr:cNvSpPr>
          <a:spLocks noChangeArrowheads="1"/>
        </xdr:cNvSpPr>
      </xdr:nvSpPr>
      <xdr:spPr bwMode="auto">
        <a:xfrm>
          <a:off x="76609575" y="2571750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0</xdr:colOff>
      <xdr:row>10</xdr:row>
      <xdr:rowOff>0</xdr:rowOff>
    </xdr:from>
    <xdr:to>
      <xdr:col>105</xdr:col>
      <xdr:colOff>19050</xdr:colOff>
      <xdr:row>10</xdr:row>
      <xdr:rowOff>142875</xdr:rowOff>
    </xdr:to>
    <xdr:sp macro="" textlink="">
      <xdr:nvSpPr>
        <xdr:cNvPr id="316369" name="Rectangle 28"/>
        <xdr:cNvSpPr>
          <a:spLocks noChangeArrowheads="1"/>
        </xdr:cNvSpPr>
      </xdr:nvSpPr>
      <xdr:spPr bwMode="auto">
        <a:xfrm>
          <a:off x="76609575" y="2571750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0</xdr:colOff>
      <xdr:row>10</xdr:row>
      <xdr:rowOff>0</xdr:rowOff>
    </xdr:from>
    <xdr:to>
      <xdr:col>105</xdr:col>
      <xdr:colOff>19050</xdr:colOff>
      <xdr:row>10</xdr:row>
      <xdr:rowOff>142875</xdr:rowOff>
    </xdr:to>
    <xdr:sp macro="" textlink="">
      <xdr:nvSpPr>
        <xdr:cNvPr id="316370" name="Rectangle 28"/>
        <xdr:cNvSpPr>
          <a:spLocks noChangeArrowheads="1"/>
        </xdr:cNvSpPr>
      </xdr:nvSpPr>
      <xdr:spPr bwMode="auto">
        <a:xfrm>
          <a:off x="76609575" y="2571750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0</xdr:colOff>
      <xdr:row>10</xdr:row>
      <xdr:rowOff>0</xdr:rowOff>
    </xdr:from>
    <xdr:to>
      <xdr:col>105</xdr:col>
      <xdr:colOff>19050</xdr:colOff>
      <xdr:row>10</xdr:row>
      <xdr:rowOff>142875</xdr:rowOff>
    </xdr:to>
    <xdr:sp macro="" textlink="">
      <xdr:nvSpPr>
        <xdr:cNvPr id="316371" name="Rectangle 28"/>
        <xdr:cNvSpPr>
          <a:spLocks noChangeArrowheads="1"/>
        </xdr:cNvSpPr>
      </xdr:nvSpPr>
      <xdr:spPr bwMode="auto">
        <a:xfrm>
          <a:off x="76609575" y="2571750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0</xdr:colOff>
      <xdr:row>10</xdr:row>
      <xdr:rowOff>0</xdr:rowOff>
    </xdr:from>
    <xdr:to>
      <xdr:col>105</xdr:col>
      <xdr:colOff>19050</xdr:colOff>
      <xdr:row>10</xdr:row>
      <xdr:rowOff>142875</xdr:rowOff>
    </xdr:to>
    <xdr:sp macro="" textlink="">
      <xdr:nvSpPr>
        <xdr:cNvPr id="316372" name="Rectangle 27"/>
        <xdr:cNvSpPr>
          <a:spLocks noChangeArrowheads="1"/>
        </xdr:cNvSpPr>
      </xdr:nvSpPr>
      <xdr:spPr bwMode="auto">
        <a:xfrm>
          <a:off x="76609575" y="2571750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0</xdr:colOff>
      <xdr:row>10</xdr:row>
      <xdr:rowOff>0</xdr:rowOff>
    </xdr:from>
    <xdr:to>
      <xdr:col>105</xdr:col>
      <xdr:colOff>19050</xdr:colOff>
      <xdr:row>10</xdr:row>
      <xdr:rowOff>142875</xdr:rowOff>
    </xdr:to>
    <xdr:sp macro="" textlink="">
      <xdr:nvSpPr>
        <xdr:cNvPr id="316373" name="Rectangle 27"/>
        <xdr:cNvSpPr>
          <a:spLocks noChangeArrowheads="1"/>
        </xdr:cNvSpPr>
      </xdr:nvSpPr>
      <xdr:spPr bwMode="auto">
        <a:xfrm>
          <a:off x="76609575" y="2571750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0</xdr:colOff>
      <xdr:row>10</xdr:row>
      <xdr:rowOff>0</xdr:rowOff>
    </xdr:from>
    <xdr:to>
      <xdr:col>105</xdr:col>
      <xdr:colOff>19050</xdr:colOff>
      <xdr:row>10</xdr:row>
      <xdr:rowOff>142875</xdr:rowOff>
    </xdr:to>
    <xdr:sp macro="" textlink="">
      <xdr:nvSpPr>
        <xdr:cNvPr id="316374" name="Rectangle 28"/>
        <xdr:cNvSpPr>
          <a:spLocks noChangeArrowheads="1"/>
        </xdr:cNvSpPr>
      </xdr:nvSpPr>
      <xdr:spPr bwMode="auto">
        <a:xfrm>
          <a:off x="76609575" y="2571750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0</xdr:colOff>
      <xdr:row>10</xdr:row>
      <xdr:rowOff>0</xdr:rowOff>
    </xdr:from>
    <xdr:to>
      <xdr:col>105</xdr:col>
      <xdr:colOff>19050</xdr:colOff>
      <xdr:row>10</xdr:row>
      <xdr:rowOff>142875</xdr:rowOff>
    </xdr:to>
    <xdr:sp macro="" textlink="">
      <xdr:nvSpPr>
        <xdr:cNvPr id="316375" name="Rectangle 28"/>
        <xdr:cNvSpPr>
          <a:spLocks noChangeArrowheads="1"/>
        </xdr:cNvSpPr>
      </xdr:nvSpPr>
      <xdr:spPr bwMode="auto">
        <a:xfrm>
          <a:off x="76609575" y="2571750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0</xdr:colOff>
      <xdr:row>3</xdr:row>
      <xdr:rowOff>0</xdr:rowOff>
    </xdr:from>
    <xdr:to>
      <xdr:col>105</xdr:col>
      <xdr:colOff>190500</xdr:colOff>
      <xdr:row>7</xdr:row>
      <xdr:rowOff>123825</xdr:rowOff>
    </xdr:to>
    <xdr:sp macro="" textlink="">
      <xdr:nvSpPr>
        <xdr:cNvPr id="316376" name="Obdélník 1183"/>
        <xdr:cNvSpPr>
          <a:spLocks noChangeArrowheads="1"/>
        </xdr:cNvSpPr>
      </xdr:nvSpPr>
      <xdr:spPr bwMode="auto">
        <a:xfrm>
          <a:off x="76609575" y="1171575"/>
          <a:ext cx="190500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0</xdr:colOff>
      <xdr:row>10</xdr:row>
      <xdr:rowOff>0</xdr:rowOff>
    </xdr:from>
    <xdr:to>
      <xdr:col>105</xdr:col>
      <xdr:colOff>19050</xdr:colOff>
      <xdr:row>10</xdr:row>
      <xdr:rowOff>142875</xdr:rowOff>
    </xdr:to>
    <xdr:sp macro="" textlink="">
      <xdr:nvSpPr>
        <xdr:cNvPr id="316377" name="Rectangle 28"/>
        <xdr:cNvSpPr>
          <a:spLocks noChangeArrowheads="1"/>
        </xdr:cNvSpPr>
      </xdr:nvSpPr>
      <xdr:spPr bwMode="auto">
        <a:xfrm>
          <a:off x="76609575" y="2571750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0</xdr:colOff>
      <xdr:row>10</xdr:row>
      <xdr:rowOff>0</xdr:rowOff>
    </xdr:from>
    <xdr:to>
      <xdr:col>105</xdr:col>
      <xdr:colOff>19050</xdr:colOff>
      <xdr:row>10</xdr:row>
      <xdr:rowOff>142875</xdr:rowOff>
    </xdr:to>
    <xdr:sp macro="" textlink="">
      <xdr:nvSpPr>
        <xdr:cNvPr id="316378" name="Rectangle 28"/>
        <xdr:cNvSpPr>
          <a:spLocks noChangeArrowheads="1"/>
        </xdr:cNvSpPr>
      </xdr:nvSpPr>
      <xdr:spPr bwMode="auto">
        <a:xfrm>
          <a:off x="76609575" y="2571750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0</xdr:colOff>
      <xdr:row>10</xdr:row>
      <xdr:rowOff>0</xdr:rowOff>
    </xdr:from>
    <xdr:to>
      <xdr:col>105</xdr:col>
      <xdr:colOff>19050</xdr:colOff>
      <xdr:row>10</xdr:row>
      <xdr:rowOff>142875</xdr:rowOff>
    </xdr:to>
    <xdr:sp macro="" textlink="">
      <xdr:nvSpPr>
        <xdr:cNvPr id="316379" name="Rectangle 28"/>
        <xdr:cNvSpPr>
          <a:spLocks noChangeArrowheads="1"/>
        </xdr:cNvSpPr>
      </xdr:nvSpPr>
      <xdr:spPr bwMode="auto">
        <a:xfrm>
          <a:off x="76609575" y="2571750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0</xdr:colOff>
      <xdr:row>10</xdr:row>
      <xdr:rowOff>0</xdr:rowOff>
    </xdr:from>
    <xdr:to>
      <xdr:col>105</xdr:col>
      <xdr:colOff>19050</xdr:colOff>
      <xdr:row>10</xdr:row>
      <xdr:rowOff>142875</xdr:rowOff>
    </xdr:to>
    <xdr:sp macro="" textlink="">
      <xdr:nvSpPr>
        <xdr:cNvPr id="316380" name="Rectangle 27"/>
        <xdr:cNvSpPr>
          <a:spLocks noChangeArrowheads="1"/>
        </xdr:cNvSpPr>
      </xdr:nvSpPr>
      <xdr:spPr bwMode="auto">
        <a:xfrm>
          <a:off x="76609575" y="2571750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0</xdr:colOff>
      <xdr:row>10</xdr:row>
      <xdr:rowOff>0</xdr:rowOff>
    </xdr:from>
    <xdr:to>
      <xdr:col>105</xdr:col>
      <xdr:colOff>19050</xdr:colOff>
      <xdr:row>10</xdr:row>
      <xdr:rowOff>142875</xdr:rowOff>
    </xdr:to>
    <xdr:sp macro="" textlink="">
      <xdr:nvSpPr>
        <xdr:cNvPr id="316381" name="Rectangle 28"/>
        <xdr:cNvSpPr>
          <a:spLocks noChangeArrowheads="1"/>
        </xdr:cNvSpPr>
      </xdr:nvSpPr>
      <xdr:spPr bwMode="auto">
        <a:xfrm>
          <a:off x="76609575" y="2571750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0</xdr:colOff>
      <xdr:row>10</xdr:row>
      <xdr:rowOff>0</xdr:rowOff>
    </xdr:from>
    <xdr:to>
      <xdr:col>105</xdr:col>
      <xdr:colOff>19050</xdr:colOff>
      <xdr:row>10</xdr:row>
      <xdr:rowOff>142875</xdr:rowOff>
    </xdr:to>
    <xdr:sp macro="" textlink="">
      <xdr:nvSpPr>
        <xdr:cNvPr id="316382" name="Rectangle 27"/>
        <xdr:cNvSpPr>
          <a:spLocks noChangeArrowheads="1"/>
        </xdr:cNvSpPr>
      </xdr:nvSpPr>
      <xdr:spPr bwMode="auto">
        <a:xfrm>
          <a:off x="76609575" y="2571750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0</xdr:colOff>
      <xdr:row>10</xdr:row>
      <xdr:rowOff>0</xdr:rowOff>
    </xdr:from>
    <xdr:to>
      <xdr:col>105</xdr:col>
      <xdr:colOff>19050</xdr:colOff>
      <xdr:row>10</xdr:row>
      <xdr:rowOff>142875</xdr:rowOff>
    </xdr:to>
    <xdr:sp macro="" textlink="">
      <xdr:nvSpPr>
        <xdr:cNvPr id="316383" name="Rectangle 28"/>
        <xdr:cNvSpPr>
          <a:spLocks noChangeArrowheads="1"/>
        </xdr:cNvSpPr>
      </xdr:nvSpPr>
      <xdr:spPr bwMode="auto">
        <a:xfrm>
          <a:off x="76609575" y="2571750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0</xdr:colOff>
      <xdr:row>10</xdr:row>
      <xdr:rowOff>0</xdr:rowOff>
    </xdr:from>
    <xdr:to>
      <xdr:col>105</xdr:col>
      <xdr:colOff>19050</xdr:colOff>
      <xdr:row>10</xdr:row>
      <xdr:rowOff>142875</xdr:rowOff>
    </xdr:to>
    <xdr:sp macro="" textlink="">
      <xdr:nvSpPr>
        <xdr:cNvPr id="316384" name="Rectangle 28"/>
        <xdr:cNvSpPr>
          <a:spLocks noChangeArrowheads="1"/>
        </xdr:cNvSpPr>
      </xdr:nvSpPr>
      <xdr:spPr bwMode="auto">
        <a:xfrm>
          <a:off x="76609575" y="2571750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0</xdr:colOff>
      <xdr:row>10</xdr:row>
      <xdr:rowOff>0</xdr:rowOff>
    </xdr:from>
    <xdr:to>
      <xdr:col>105</xdr:col>
      <xdr:colOff>19050</xdr:colOff>
      <xdr:row>10</xdr:row>
      <xdr:rowOff>142875</xdr:rowOff>
    </xdr:to>
    <xdr:sp macro="" textlink="">
      <xdr:nvSpPr>
        <xdr:cNvPr id="316385" name="Rectangle 28"/>
        <xdr:cNvSpPr>
          <a:spLocks noChangeArrowheads="1"/>
        </xdr:cNvSpPr>
      </xdr:nvSpPr>
      <xdr:spPr bwMode="auto">
        <a:xfrm>
          <a:off x="76609575" y="2571750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0</xdr:colOff>
      <xdr:row>10</xdr:row>
      <xdr:rowOff>0</xdr:rowOff>
    </xdr:from>
    <xdr:to>
      <xdr:col>105</xdr:col>
      <xdr:colOff>19050</xdr:colOff>
      <xdr:row>10</xdr:row>
      <xdr:rowOff>142875</xdr:rowOff>
    </xdr:to>
    <xdr:sp macro="" textlink="">
      <xdr:nvSpPr>
        <xdr:cNvPr id="316386" name="Rectangle 28"/>
        <xdr:cNvSpPr>
          <a:spLocks noChangeArrowheads="1"/>
        </xdr:cNvSpPr>
      </xdr:nvSpPr>
      <xdr:spPr bwMode="auto">
        <a:xfrm>
          <a:off x="76609575" y="2571750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0</xdr:colOff>
      <xdr:row>10</xdr:row>
      <xdr:rowOff>0</xdr:rowOff>
    </xdr:from>
    <xdr:to>
      <xdr:col>105</xdr:col>
      <xdr:colOff>19050</xdr:colOff>
      <xdr:row>10</xdr:row>
      <xdr:rowOff>142875</xdr:rowOff>
    </xdr:to>
    <xdr:sp macro="" textlink="">
      <xdr:nvSpPr>
        <xdr:cNvPr id="316387" name="Rectangle 27"/>
        <xdr:cNvSpPr>
          <a:spLocks noChangeArrowheads="1"/>
        </xdr:cNvSpPr>
      </xdr:nvSpPr>
      <xdr:spPr bwMode="auto">
        <a:xfrm>
          <a:off x="76609575" y="2571750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0</xdr:colOff>
      <xdr:row>10</xdr:row>
      <xdr:rowOff>0</xdr:rowOff>
    </xdr:from>
    <xdr:to>
      <xdr:col>105</xdr:col>
      <xdr:colOff>19050</xdr:colOff>
      <xdr:row>10</xdr:row>
      <xdr:rowOff>142875</xdr:rowOff>
    </xdr:to>
    <xdr:sp macro="" textlink="">
      <xdr:nvSpPr>
        <xdr:cNvPr id="316388" name="Rectangle 27"/>
        <xdr:cNvSpPr>
          <a:spLocks noChangeArrowheads="1"/>
        </xdr:cNvSpPr>
      </xdr:nvSpPr>
      <xdr:spPr bwMode="auto">
        <a:xfrm>
          <a:off x="76609575" y="2571750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0</xdr:colOff>
      <xdr:row>10</xdr:row>
      <xdr:rowOff>0</xdr:rowOff>
    </xdr:from>
    <xdr:to>
      <xdr:col>105</xdr:col>
      <xdr:colOff>19050</xdr:colOff>
      <xdr:row>10</xdr:row>
      <xdr:rowOff>142875</xdr:rowOff>
    </xdr:to>
    <xdr:sp macro="" textlink="">
      <xdr:nvSpPr>
        <xdr:cNvPr id="316389" name="Rectangle 28"/>
        <xdr:cNvSpPr>
          <a:spLocks noChangeArrowheads="1"/>
        </xdr:cNvSpPr>
      </xdr:nvSpPr>
      <xdr:spPr bwMode="auto">
        <a:xfrm>
          <a:off x="76609575" y="2571750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0</xdr:colOff>
      <xdr:row>10</xdr:row>
      <xdr:rowOff>0</xdr:rowOff>
    </xdr:from>
    <xdr:to>
      <xdr:col>105</xdr:col>
      <xdr:colOff>19050</xdr:colOff>
      <xdr:row>10</xdr:row>
      <xdr:rowOff>142875</xdr:rowOff>
    </xdr:to>
    <xdr:sp macro="" textlink="">
      <xdr:nvSpPr>
        <xdr:cNvPr id="316390" name="Rectangle 28"/>
        <xdr:cNvSpPr>
          <a:spLocks noChangeArrowheads="1"/>
        </xdr:cNvSpPr>
      </xdr:nvSpPr>
      <xdr:spPr bwMode="auto">
        <a:xfrm>
          <a:off x="76609575" y="2571750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0</xdr:colOff>
      <xdr:row>10</xdr:row>
      <xdr:rowOff>0</xdr:rowOff>
    </xdr:from>
    <xdr:to>
      <xdr:col>105</xdr:col>
      <xdr:colOff>19050</xdr:colOff>
      <xdr:row>10</xdr:row>
      <xdr:rowOff>142875</xdr:rowOff>
    </xdr:to>
    <xdr:sp macro="" textlink="">
      <xdr:nvSpPr>
        <xdr:cNvPr id="316391" name="Rectangle 28"/>
        <xdr:cNvSpPr>
          <a:spLocks noChangeArrowheads="1"/>
        </xdr:cNvSpPr>
      </xdr:nvSpPr>
      <xdr:spPr bwMode="auto">
        <a:xfrm>
          <a:off x="76609575" y="2571750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0</xdr:colOff>
      <xdr:row>10</xdr:row>
      <xdr:rowOff>0</xdr:rowOff>
    </xdr:from>
    <xdr:to>
      <xdr:col>105</xdr:col>
      <xdr:colOff>19050</xdr:colOff>
      <xdr:row>10</xdr:row>
      <xdr:rowOff>142875</xdr:rowOff>
    </xdr:to>
    <xdr:sp macro="" textlink="">
      <xdr:nvSpPr>
        <xdr:cNvPr id="316392" name="Rectangle 27"/>
        <xdr:cNvSpPr>
          <a:spLocks noChangeArrowheads="1"/>
        </xdr:cNvSpPr>
      </xdr:nvSpPr>
      <xdr:spPr bwMode="auto">
        <a:xfrm>
          <a:off x="76609575" y="2571750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0</xdr:colOff>
      <xdr:row>10</xdr:row>
      <xdr:rowOff>0</xdr:rowOff>
    </xdr:from>
    <xdr:to>
      <xdr:col>105</xdr:col>
      <xdr:colOff>19050</xdr:colOff>
      <xdr:row>10</xdr:row>
      <xdr:rowOff>142875</xdr:rowOff>
    </xdr:to>
    <xdr:sp macro="" textlink="">
      <xdr:nvSpPr>
        <xdr:cNvPr id="316393" name="Rectangle 27"/>
        <xdr:cNvSpPr>
          <a:spLocks noChangeArrowheads="1"/>
        </xdr:cNvSpPr>
      </xdr:nvSpPr>
      <xdr:spPr bwMode="auto">
        <a:xfrm>
          <a:off x="76609575" y="2571750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0</xdr:colOff>
      <xdr:row>10</xdr:row>
      <xdr:rowOff>0</xdr:rowOff>
    </xdr:from>
    <xdr:to>
      <xdr:col>105</xdr:col>
      <xdr:colOff>19050</xdr:colOff>
      <xdr:row>10</xdr:row>
      <xdr:rowOff>142875</xdr:rowOff>
    </xdr:to>
    <xdr:sp macro="" textlink="">
      <xdr:nvSpPr>
        <xdr:cNvPr id="316394" name="Rectangle 28"/>
        <xdr:cNvSpPr>
          <a:spLocks noChangeArrowheads="1"/>
        </xdr:cNvSpPr>
      </xdr:nvSpPr>
      <xdr:spPr bwMode="auto">
        <a:xfrm>
          <a:off x="76609575" y="2571750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0</xdr:colOff>
      <xdr:row>10</xdr:row>
      <xdr:rowOff>0</xdr:rowOff>
    </xdr:from>
    <xdr:to>
      <xdr:col>105</xdr:col>
      <xdr:colOff>19050</xdr:colOff>
      <xdr:row>10</xdr:row>
      <xdr:rowOff>142875</xdr:rowOff>
    </xdr:to>
    <xdr:sp macro="" textlink="">
      <xdr:nvSpPr>
        <xdr:cNvPr id="316395" name="Rectangle 28"/>
        <xdr:cNvSpPr>
          <a:spLocks noChangeArrowheads="1"/>
        </xdr:cNvSpPr>
      </xdr:nvSpPr>
      <xdr:spPr bwMode="auto">
        <a:xfrm>
          <a:off x="76609575" y="2571750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0</xdr:colOff>
      <xdr:row>10</xdr:row>
      <xdr:rowOff>0</xdr:rowOff>
    </xdr:from>
    <xdr:to>
      <xdr:col>105</xdr:col>
      <xdr:colOff>19050</xdr:colOff>
      <xdr:row>10</xdr:row>
      <xdr:rowOff>142875</xdr:rowOff>
    </xdr:to>
    <xdr:sp macro="" textlink="">
      <xdr:nvSpPr>
        <xdr:cNvPr id="316396" name="Rectangle 28"/>
        <xdr:cNvSpPr>
          <a:spLocks noChangeArrowheads="1"/>
        </xdr:cNvSpPr>
      </xdr:nvSpPr>
      <xdr:spPr bwMode="auto">
        <a:xfrm>
          <a:off x="76609575" y="2571750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0</xdr:colOff>
      <xdr:row>10</xdr:row>
      <xdr:rowOff>0</xdr:rowOff>
    </xdr:from>
    <xdr:to>
      <xdr:col>105</xdr:col>
      <xdr:colOff>19050</xdr:colOff>
      <xdr:row>10</xdr:row>
      <xdr:rowOff>142875</xdr:rowOff>
    </xdr:to>
    <xdr:sp macro="" textlink="">
      <xdr:nvSpPr>
        <xdr:cNvPr id="316397" name="Rectangle 28"/>
        <xdr:cNvSpPr>
          <a:spLocks noChangeArrowheads="1"/>
        </xdr:cNvSpPr>
      </xdr:nvSpPr>
      <xdr:spPr bwMode="auto">
        <a:xfrm>
          <a:off x="76609575" y="2571750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0</xdr:colOff>
      <xdr:row>10</xdr:row>
      <xdr:rowOff>0</xdr:rowOff>
    </xdr:from>
    <xdr:to>
      <xdr:col>105</xdr:col>
      <xdr:colOff>19050</xdr:colOff>
      <xdr:row>10</xdr:row>
      <xdr:rowOff>142875</xdr:rowOff>
    </xdr:to>
    <xdr:sp macro="" textlink="">
      <xdr:nvSpPr>
        <xdr:cNvPr id="316398" name="Rectangle 28"/>
        <xdr:cNvSpPr>
          <a:spLocks noChangeArrowheads="1"/>
        </xdr:cNvSpPr>
      </xdr:nvSpPr>
      <xdr:spPr bwMode="auto">
        <a:xfrm>
          <a:off x="76609575" y="2571750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0</xdr:colOff>
      <xdr:row>10</xdr:row>
      <xdr:rowOff>0</xdr:rowOff>
    </xdr:from>
    <xdr:to>
      <xdr:col>105</xdr:col>
      <xdr:colOff>19050</xdr:colOff>
      <xdr:row>10</xdr:row>
      <xdr:rowOff>142875</xdr:rowOff>
    </xdr:to>
    <xdr:sp macro="" textlink="">
      <xdr:nvSpPr>
        <xdr:cNvPr id="316399" name="Rectangle 27"/>
        <xdr:cNvSpPr>
          <a:spLocks noChangeArrowheads="1"/>
        </xdr:cNvSpPr>
      </xdr:nvSpPr>
      <xdr:spPr bwMode="auto">
        <a:xfrm>
          <a:off x="76609575" y="2571750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0</xdr:colOff>
      <xdr:row>10</xdr:row>
      <xdr:rowOff>0</xdr:rowOff>
    </xdr:from>
    <xdr:to>
      <xdr:col>105</xdr:col>
      <xdr:colOff>19050</xdr:colOff>
      <xdr:row>10</xdr:row>
      <xdr:rowOff>142875</xdr:rowOff>
    </xdr:to>
    <xdr:sp macro="" textlink="">
      <xdr:nvSpPr>
        <xdr:cNvPr id="316400" name="Rectangle 28"/>
        <xdr:cNvSpPr>
          <a:spLocks noChangeArrowheads="1"/>
        </xdr:cNvSpPr>
      </xdr:nvSpPr>
      <xdr:spPr bwMode="auto">
        <a:xfrm>
          <a:off x="76609575" y="2571750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0</xdr:colOff>
      <xdr:row>10</xdr:row>
      <xdr:rowOff>0</xdr:rowOff>
    </xdr:from>
    <xdr:to>
      <xdr:col>105</xdr:col>
      <xdr:colOff>19050</xdr:colOff>
      <xdr:row>10</xdr:row>
      <xdr:rowOff>142875</xdr:rowOff>
    </xdr:to>
    <xdr:sp macro="" textlink="">
      <xdr:nvSpPr>
        <xdr:cNvPr id="316401" name="Rectangle 27"/>
        <xdr:cNvSpPr>
          <a:spLocks noChangeArrowheads="1"/>
        </xdr:cNvSpPr>
      </xdr:nvSpPr>
      <xdr:spPr bwMode="auto">
        <a:xfrm>
          <a:off x="76609575" y="2571750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0</xdr:colOff>
      <xdr:row>10</xdr:row>
      <xdr:rowOff>0</xdr:rowOff>
    </xdr:from>
    <xdr:to>
      <xdr:col>105</xdr:col>
      <xdr:colOff>19050</xdr:colOff>
      <xdr:row>10</xdr:row>
      <xdr:rowOff>142875</xdr:rowOff>
    </xdr:to>
    <xdr:sp macro="" textlink="">
      <xdr:nvSpPr>
        <xdr:cNvPr id="316402" name="Rectangle 28"/>
        <xdr:cNvSpPr>
          <a:spLocks noChangeArrowheads="1"/>
        </xdr:cNvSpPr>
      </xdr:nvSpPr>
      <xdr:spPr bwMode="auto">
        <a:xfrm>
          <a:off x="76609575" y="2571750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0</xdr:colOff>
      <xdr:row>10</xdr:row>
      <xdr:rowOff>0</xdr:rowOff>
    </xdr:from>
    <xdr:to>
      <xdr:col>105</xdr:col>
      <xdr:colOff>19050</xdr:colOff>
      <xdr:row>10</xdr:row>
      <xdr:rowOff>142875</xdr:rowOff>
    </xdr:to>
    <xdr:sp macro="" textlink="">
      <xdr:nvSpPr>
        <xdr:cNvPr id="316403" name="Rectangle 28"/>
        <xdr:cNvSpPr>
          <a:spLocks noChangeArrowheads="1"/>
        </xdr:cNvSpPr>
      </xdr:nvSpPr>
      <xdr:spPr bwMode="auto">
        <a:xfrm>
          <a:off x="76609575" y="2571750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0</xdr:colOff>
      <xdr:row>10</xdr:row>
      <xdr:rowOff>0</xdr:rowOff>
    </xdr:from>
    <xdr:to>
      <xdr:col>105</xdr:col>
      <xdr:colOff>19050</xdr:colOff>
      <xdr:row>10</xdr:row>
      <xdr:rowOff>142875</xdr:rowOff>
    </xdr:to>
    <xdr:sp macro="" textlink="">
      <xdr:nvSpPr>
        <xdr:cNvPr id="316404" name="Rectangle 28"/>
        <xdr:cNvSpPr>
          <a:spLocks noChangeArrowheads="1"/>
        </xdr:cNvSpPr>
      </xdr:nvSpPr>
      <xdr:spPr bwMode="auto">
        <a:xfrm>
          <a:off x="76609575" y="2571750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0</xdr:colOff>
      <xdr:row>10</xdr:row>
      <xdr:rowOff>0</xdr:rowOff>
    </xdr:from>
    <xdr:to>
      <xdr:col>105</xdr:col>
      <xdr:colOff>19050</xdr:colOff>
      <xdr:row>10</xdr:row>
      <xdr:rowOff>142875</xdr:rowOff>
    </xdr:to>
    <xdr:sp macro="" textlink="">
      <xdr:nvSpPr>
        <xdr:cNvPr id="316405" name="Rectangle 28"/>
        <xdr:cNvSpPr>
          <a:spLocks noChangeArrowheads="1"/>
        </xdr:cNvSpPr>
      </xdr:nvSpPr>
      <xdr:spPr bwMode="auto">
        <a:xfrm>
          <a:off x="76609575" y="2571750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0</xdr:colOff>
      <xdr:row>10</xdr:row>
      <xdr:rowOff>0</xdr:rowOff>
    </xdr:from>
    <xdr:to>
      <xdr:col>105</xdr:col>
      <xdr:colOff>19050</xdr:colOff>
      <xdr:row>10</xdr:row>
      <xdr:rowOff>142875</xdr:rowOff>
    </xdr:to>
    <xdr:sp macro="" textlink="">
      <xdr:nvSpPr>
        <xdr:cNvPr id="316406" name="Rectangle 27"/>
        <xdr:cNvSpPr>
          <a:spLocks noChangeArrowheads="1"/>
        </xdr:cNvSpPr>
      </xdr:nvSpPr>
      <xdr:spPr bwMode="auto">
        <a:xfrm>
          <a:off x="76609575" y="2571750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0</xdr:colOff>
      <xdr:row>10</xdr:row>
      <xdr:rowOff>0</xdr:rowOff>
    </xdr:from>
    <xdr:to>
      <xdr:col>105</xdr:col>
      <xdr:colOff>19050</xdr:colOff>
      <xdr:row>10</xdr:row>
      <xdr:rowOff>142875</xdr:rowOff>
    </xdr:to>
    <xdr:sp macro="" textlink="">
      <xdr:nvSpPr>
        <xdr:cNvPr id="316407" name="Rectangle 27"/>
        <xdr:cNvSpPr>
          <a:spLocks noChangeArrowheads="1"/>
        </xdr:cNvSpPr>
      </xdr:nvSpPr>
      <xdr:spPr bwMode="auto">
        <a:xfrm>
          <a:off x="76609575" y="2571750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0</xdr:colOff>
      <xdr:row>10</xdr:row>
      <xdr:rowOff>0</xdr:rowOff>
    </xdr:from>
    <xdr:to>
      <xdr:col>105</xdr:col>
      <xdr:colOff>19050</xdr:colOff>
      <xdr:row>10</xdr:row>
      <xdr:rowOff>142875</xdr:rowOff>
    </xdr:to>
    <xdr:sp macro="" textlink="">
      <xdr:nvSpPr>
        <xdr:cNvPr id="316408" name="Rectangle 28"/>
        <xdr:cNvSpPr>
          <a:spLocks noChangeArrowheads="1"/>
        </xdr:cNvSpPr>
      </xdr:nvSpPr>
      <xdr:spPr bwMode="auto">
        <a:xfrm>
          <a:off x="76609575" y="2571750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0</xdr:colOff>
      <xdr:row>10</xdr:row>
      <xdr:rowOff>0</xdr:rowOff>
    </xdr:from>
    <xdr:to>
      <xdr:col>105</xdr:col>
      <xdr:colOff>19050</xdr:colOff>
      <xdr:row>10</xdr:row>
      <xdr:rowOff>142875</xdr:rowOff>
    </xdr:to>
    <xdr:sp macro="" textlink="">
      <xdr:nvSpPr>
        <xdr:cNvPr id="316409" name="Rectangle 28"/>
        <xdr:cNvSpPr>
          <a:spLocks noChangeArrowheads="1"/>
        </xdr:cNvSpPr>
      </xdr:nvSpPr>
      <xdr:spPr bwMode="auto">
        <a:xfrm>
          <a:off x="76609575" y="2571750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0</xdr:colOff>
      <xdr:row>10</xdr:row>
      <xdr:rowOff>0</xdr:rowOff>
    </xdr:from>
    <xdr:to>
      <xdr:col>105</xdr:col>
      <xdr:colOff>19050</xdr:colOff>
      <xdr:row>10</xdr:row>
      <xdr:rowOff>142875</xdr:rowOff>
    </xdr:to>
    <xdr:sp macro="" textlink="">
      <xdr:nvSpPr>
        <xdr:cNvPr id="316410" name="Rectangle 28"/>
        <xdr:cNvSpPr>
          <a:spLocks noChangeArrowheads="1"/>
        </xdr:cNvSpPr>
      </xdr:nvSpPr>
      <xdr:spPr bwMode="auto">
        <a:xfrm>
          <a:off x="76609575" y="2571750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0</xdr:colOff>
      <xdr:row>10</xdr:row>
      <xdr:rowOff>0</xdr:rowOff>
    </xdr:from>
    <xdr:to>
      <xdr:col>105</xdr:col>
      <xdr:colOff>19050</xdr:colOff>
      <xdr:row>10</xdr:row>
      <xdr:rowOff>142875</xdr:rowOff>
    </xdr:to>
    <xdr:sp macro="" textlink="">
      <xdr:nvSpPr>
        <xdr:cNvPr id="316411" name="Rectangle 27"/>
        <xdr:cNvSpPr>
          <a:spLocks noChangeArrowheads="1"/>
        </xdr:cNvSpPr>
      </xdr:nvSpPr>
      <xdr:spPr bwMode="auto">
        <a:xfrm>
          <a:off x="76609575" y="2571750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0</xdr:colOff>
      <xdr:row>10</xdr:row>
      <xdr:rowOff>0</xdr:rowOff>
    </xdr:from>
    <xdr:to>
      <xdr:col>105</xdr:col>
      <xdr:colOff>19050</xdr:colOff>
      <xdr:row>10</xdr:row>
      <xdr:rowOff>142875</xdr:rowOff>
    </xdr:to>
    <xdr:sp macro="" textlink="">
      <xdr:nvSpPr>
        <xdr:cNvPr id="316412" name="Rectangle 27"/>
        <xdr:cNvSpPr>
          <a:spLocks noChangeArrowheads="1"/>
        </xdr:cNvSpPr>
      </xdr:nvSpPr>
      <xdr:spPr bwMode="auto">
        <a:xfrm>
          <a:off x="76609575" y="2571750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0</xdr:colOff>
      <xdr:row>10</xdr:row>
      <xdr:rowOff>0</xdr:rowOff>
    </xdr:from>
    <xdr:to>
      <xdr:col>105</xdr:col>
      <xdr:colOff>19050</xdr:colOff>
      <xdr:row>10</xdr:row>
      <xdr:rowOff>142875</xdr:rowOff>
    </xdr:to>
    <xdr:sp macro="" textlink="">
      <xdr:nvSpPr>
        <xdr:cNvPr id="316413" name="Rectangle 28"/>
        <xdr:cNvSpPr>
          <a:spLocks noChangeArrowheads="1"/>
        </xdr:cNvSpPr>
      </xdr:nvSpPr>
      <xdr:spPr bwMode="auto">
        <a:xfrm>
          <a:off x="76609575" y="2571750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0</xdr:colOff>
      <xdr:row>10</xdr:row>
      <xdr:rowOff>0</xdr:rowOff>
    </xdr:from>
    <xdr:to>
      <xdr:col>105</xdr:col>
      <xdr:colOff>19050</xdr:colOff>
      <xdr:row>10</xdr:row>
      <xdr:rowOff>142875</xdr:rowOff>
    </xdr:to>
    <xdr:sp macro="" textlink="">
      <xdr:nvSpPr>
        <xdr:cNvPr id="316414" name="Rectangle 28"/>
        <xdr:cNvSpPr>
          <a:spLocks noChangeArrowheads="1"/>
        </xdr:cNvSpPr>
      </xdr:nvSpPr>
      <xdr:spPr bwMode="auto">
        <a:xfrm>
          <a:off x="76609575" y="2571750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0</xdr:colOff>
      <xdr:row>10</xdr:row>
      <xdr:rowOff>0</xdr:rowOff>
    </xdr:from>
    <xdr:to>
      <xdr:col>105</xdr:col>
      <xdr:colOff>19050</xdr:colOff>
      <xdr:row>10</xdr:row>
      <xdr:rowOff>142875</xdr:rowOff>
    </xdr:to>
    <xdr:sp macro="" textlink="">
      <xdr:nvSpPr>
        <xdr:cNvPr id="316415" name="Rectangle 27"/>
        <xdr:cNvSpPr>
          <a:spLocks noChangeArrowheads="1"/>
        </xdr:cNvSpPr>
      </xdr:nvSpPr>
      <xdr:spPr bwMode="auto">
        <a:xfrm>
          <a:off x="76609575" y="2571750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0</xdr:colOff>
      <xdr:row>10</xdr:row>
      <xdr:rowOff>0</xdr:rowOff>
    </xdr:from>
    <xdr:to>
      <xdr:col>105</xdr:col>
      <xdr:colOff>19050</xdr:colOff>
      <xdr:row>10</xdr:row>
      <xdr:rowOff>142875</xdr:rowOff>
    </xdr:to>
    <xdr:sp macro="" textlink="">
      <xdr:nvSpPr>
        <xdr:cNvPr id="316416" name="Rectangle 28"/>
        <xdr:cNvSpPr>
          <a:spLocks noChangeArrowheads="1"/>
        </xdr:cNvSpPr>
      </xdr:nvSpPr>
      <xdr:spPr bwMode="auto">
        <a:xfrm>
          <a:off x="76609575" y="2571750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0</xdr:colOff>
      <xdr:row>10</xdr:row>
      <xdr:rowOff>0</xdr:rowOff>
    </xdr:from>
    <xdr:to>
      <xdr:col>105</xdr:col>
      <xdr:colOff>19050</xdr:colOff>
      <xdr:row>10</xdr:row>
      <xdr:rowOff>142875</xdr:rowOff>
    </xdr:to>
    <xdr:sp macro="" textlink="">
      <xdr:nvSpPr>
        <xdr:cNvPr id="316417" name="Rectangle 27"/>
        <xdr:cNvSpPr>
          <a:spLocks noChangeArrowheads="1"/>
        </xdr:cNvSpPr>
      </xdr:nvSpPr>
      <xdr:spPr bwMode="auto">
        <a:xfrm>
          <a:off x="76609575" y="2571750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0</xdr:colOff>
      <xdr:row>10</xdr:row>
      <xdr:rowOff>0</xdr:rowOff>
    </xdr:from>
    <xdr:to>
      <xdr:col>105</xdr:col>
      <xdr:colOff>19050</xdr:colOff>
      <xdr:row>10</xdr:row>
      <xdr:rowOff>142875</xdr:rowOff>
    </xdr:to>
    <xdr:sp macro="" textlink="">
      <xdr:nvSpPr>
        <xdr:cNvPr id="316418" name="Rectangle 28"/>
        <xdr:cNvSpPr>
          <a:spLocks noChangeArrowheads="1"/>
        </xdr:cNvSpPr>
      </xdr:nvSpPr>
      <xdr:spPr bwMode="auto">
        <a:xfrm>
          <a:off x="76609575" y="2571750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0</xdr:colOff>
      <xdr:row>10</xdr:row>
      <xdr:rowOff>0</xdr:rowOff>
    </xdr:from>
    <xdr:to>
      <xdr:col>105</xdr:col>
      <xdr:colOff>19050</xdr:colOff>
      <xdr:row>10</xdr:row>
      <xdr:rowOff>142875</xdr:rowOff>
    </xdr:to>
    <xdr:sp macro="" textlink="">
      <xdr:nvSpPr>
        <xdr:cNvPr id="316419" name="Rectangle 28"/>
        <xdr:cNvSpPr>
          <a:spLocks noChangeArrowheads="1"/>
        </xdr:cNvSpPr>
      </xdr:nvSpPr>
      <xdr:spPr bwMode="auto">
        <a:xfrm>
          <a:off x="76609575" y="2571750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0</xdr:colOff>
      <xdr:row>10</xdr:row>
      <xdr:rowOff>0</xdr:rowOff>
    </xdr:from>
    <xdr:to>
      <xdr:col>105</xdr:col>
      <xdr:colOff>19050</xdr:colOff>
      <xdr:row>10</xdr:row>
      <xdr:rowOff>142875</xdr:rowOff>
    </xdr:to>
    <xdr:sp macro="" textlink="">
      <xdr:nvSpPr>
        <xdr:cNvPr id="316420" name="Rectangle 27"/>
        <xdr:cNvSpPr>
          <a:spLocks noChangeArrowheads="1"/>
        </xdr:cNvSpPr>
      </xdr:nvSpPr>
      <xdr:spPr bwMode="auto">
        <a:xfrm>
          <a:off x="76609575" y="2571750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0</xdr:colOff>
      <xdr:row>10</xdr:row>
      <xdr:rowOff>0</xdr:rowOff>
    </xdr:from>
    <xdr:to>
      <xdr:col>105</xdr:col>
      <xdr:colOff>19050</xdr:colOff>
      <xdr:row>10</xdr:row>
      <xdr:rowOff>142875</xdr:rowOff>
    </xdr:to>
    <xdr:sp macro="" textlink="">
      <xdr:nvSpPr>
        <xdr:cNvPr id="316421" name="Rectangle 28"/>
        <xdr:cNvSpPr>
          <a:spLocks noChangeArrowheads="1"/>
        </xdr:cNvSpPr>
      </xdr:nvSpPr>
      <xdr:spPr bwMode="auto">
        <a:xfrm>
          <a:off x="76609575" y="2571750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0</xdr:colOff>
      <xdr:row>10</xdr:row>
      <xdr:rowOff>0</xdr:rowOff>
    </xdr:from>
    <xdr:to>
      <xdr:col>105</xdr:col>
      <xdr:colOff>19050</xdr:colOff>
      <xdr:row>10</xdr:row>
      <xdr:rowOff>142875</xdr:rowOff>
    </xdr:to>
    <xdr:sp macro="" textlink="">
      <xdr:nvSpPr>
        <xdr:cNvPr id="316422" name="Rectangle 28"/>
        <xdr:cNvSpPr>
          <a:spLocks noChangeArrowheads="1"/>
        </xdr:cNvSpPr>
      </xdr:nvSpPr>
      <xdr:spPr bwMode="auto">
        <a:xfrm>
          <a:off x="76609575" y="2571750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0</xdr:colOff>
      <xdr:row>10</xdr:row>
      <xdr:rowOff>0</xdr:rowOff>
    </xdr:from>
    <xdr:to>
      <xdr:col>105</xdr:col>
      <xdr:colOff>19050</xdr:colOff>
      <xdr:row>10</xdr:row>
      <xdr:rowOff>142875</xdr:rowOff>
    </xdr:to>
    <xdr:sp macro="" textlink="">
      <xdr:nvSpPr>
        <xdr:cNvPr id="316423" name="Rectangle 28"/>
        <xdr:cNvSpPr>
          <a:spLocks noChangeArrowheads="1"/>
        </xdr:cNvSpPr>
      </xdr:nvSpPr>
      <xdr:spPr bwMode="auto">
        <a:xfrm>
          <a:off x="76609575" y="2571750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0</xdr:colOff>
      <xdr:row>10</xdr:row>
      <xdr:rowOff>0</xdr:rowOff>
    </xdr:from>
    <xdr:to>
      <xdr:col>105</xdr:col>
      <xdr:colOff>19050</xdr:colOff>
      <xdr:row>10</xdr:row>
      <xdr:rowOff>142875</xdr:rowOff>
    </xdr:to>
    <xdr:sp macro="" textlink="">
      <xdr:nvSpPr>
        <xdr:cNvPr id="316424" name="Rectangle 28"/>
        <xdr:cNvSpPr>
          <a:spLocks noChangeArrowheads="1"/>
        </xdr:cNvSpPr>
      </xdr:nvSpPr>
      <xdr:spPr bwMode="auto">
        <a:xfrm>
          <a:off x="76609575" y="2571750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0</xdr:colOff>
      <xdr:row>10</xdr:row>
      <xdr:rowOff>0</xdr:rowOff>
    </xdr:from>
    <xdr:to>
      <xdr:col>105</xdr:col>
      <xdr:colOff>19050</xdr:colOff>
      <xdr:row>10</xdr:row>
      <xdr:rowOff>142875</xdr:rowOff>
    </xdr:to>
    <xdr:sp macro="" textlink="">
      <xdr:nvSpPr>
        <xdr:cNvPr id="316425" name="Rectangle 27"/>
        <xdr:cNvSpPr>
          <a:spLocks noChangeArrowheads="1"/>
        </xdr:cNvSpPr>
      </xdr:nvSpPr>
      <xdr:spPr bwMode="auto">
        <a:xfrm>
          <a:off x="76609575" y="2571750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0</xdr:colOff>
      <xdr:row>10</xdr:row>
      <xdr:rowOff>0</xdr:rowOff>
    </xdr:from>
    <xdr:to>
      <xdr:col>105</xdr:col>
      <xdr:colOff>19050</xdr:colOff>
      <xdr:row>10</xdr:row>
      <xdr:rowOff>142875</xdr:rowOff>
    </xdr:to>
    <xdr:sp macro="" textlink="">
      <xdr:nvSpPr>
        <xdr:cNvPr id="316426" name="Rectangle 28"/>
        <xdr:cNvSpPr>
          <a:spLocks noChangeArrowheads="1"/>
        </xdr:cNvSpPr>
      </xdr:nvSpPr>
      <xdr:spPr bwMode="auto">
        <a:xfrm>
          <a:off x="76609575" y="2571750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0</xdr:colOff>
      <xdr:row>10</xdr:row>
      <xdr:rowOff>0</xdr:rowOff>
    </xdr:from>
    <xdr:to>
      <xdr:col>105</xdr:col>
      <xdr:colOff>19050</xdr:colOff>
      <xdr:row>10</xdr:row>
      <xdr:rowOff>142875</xdr:rowOff>
    </xdr:to>
    <xdr:sp macro="" textlink="">
      <xdr:nvSpPr>
        <xdr:cNvPr id="316427" name="Rectangle 27"/>
        <xdr:cNvSpPr>
          <a:spLocks noChangeArrowheads="1"/>
        </xdr:cNvSpPr>
      </xdr:nvSpPr>
      <xdr:spPr bwMode="auto">
        <a:xfrm>
          <a:off x="76609575" y="2571750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0</xdr:colOff>
      <xdr:row>10</xdr:row>
      <xdr:rowOff>0</xdr:rowOff>
    </xdr:from>
    <xdr:to>
      <xdr:col>105</xdr:col>
      <xdr:colOff>19050</xdr:colOff>
      <xdr:row>10</xdr:row>
      <xdr:rowOff>142875</xdr:rowOff>
    </xdr:to>
    <xdr:sp macro="" textlink="">
      <xdr:nvSpPr>
        <xdr:cNvPr id="316428" name="Rectangle 27"/>
        <xdr:cNvSpPr>
          <a:spLocks noChangeArrowheads="1"/>
        </xdr:cNvSpPr>
      </xdr:nvSpPr>
      <xdr:spPr bwMode="auto">
        <a:xfrm>
          <a:off x="76609575" y="2571750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0</xdr:colOff>
      <xdr:row>10</xdr:row>
      <xdr:rowOff>0</xdr:rowOff>
    </xdr:from>
    <xdr:to>
      <xdr:col>105</xdr:col>
      <xdr:colOff>19050</xdr:colOff>
      <xdr:row>10</xdr:row>
      <xdr:rowOff>142875</xdr:rowOff>
    </xdr:to>
    <xdr:sp macro="" textlink="">
      <xdr:nvSpPr>
        <xdr:cNvPr id="316429" name="Rectangle 28"/>
        <xdr:cNvSpPr>
          <a:spLocks noChangeArrowheads="1"/>
        </xdr:cNvSpPr>
      </xdr:nvSpPr>
      <xdr:spPr bwMode="auto">
        <a:xfrm>
          <a:off x="76609575" y="2571750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0</xdr:colOff>
      <xdr:row>10</xdr:row>
      <xdr:rowOff>0</xdr:rowOff>
    </xdr:from>
    <xdr:to>
      <xdr:col>105</xdr:col>
      <xdr:colOff>19050</xdr:colOff>
      <xdr:row>10</xdr:row>
      <xdr:rowOff>142875</xdr:rowOff>
    </xdr:to>
    <xdr:sp macro="" textlink="">
      <xdr:nvSpPr>
        <xdr:cNvPr id="316430" name="Rectangle 27"/>
        <xdr:cNvSpPr>
          <a:spLocks noChangeArrowheads="1"/>
        </xdr:cNvSpPr>
      </xdr:nvSpPr>
      <xdr:spPr bwMode="auto">
        <a:xfrm>
          <a:off x="76609575" y="2571750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0</xdr:colOff>
      <xdr:row>10</xdr:row>
      <xdr:rowOff>0</xdr:rowOff>
    </xdr:from>
    <xdr:to>
      <xdr:col>105</xdr:col>
      <xdr:colOff>19050</xdr:colOff>
      <xdr:row>10</xdr:row>
      <xdr:rowOff>142875</xdr:rowOff>
    </xdr:to>
    <xdr:sp macro="" textlink="">
      <xdr:nvSpPr>
        <xdr:cNvPr id="316431" name="Rectangle 27"/>
        <xdr:cNvSpPr>
          <a:spLocks noChangeArrowheads="1"/>
        </xdr:cNvSpPr>
      </xdr:nvSpPr>
      <xdr:spPr bwMode="auto">
        <a:xfrm>
          <a:off x="76609575" y="2571750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0</xdr:colOff>
      <xdr:row>10</xdr:row>
      <xdr:rowOff>0</xdr:rowOff>
    </xdr:from>
    <xdr:to>
      <xdr:col>105</xdr:col>
      <xdr:colOff>19050</xdr:colOff>
      <xdr:row>10</xdr:row>
      <xdr:rowOff>142875</xdr:rowOff>
    </xdr:to>
    <xdr:sp macro="" textlink="">
      <xdr:nvSpPr>
        <xdr:cNvPr id="316432" name="Rectangle 28"/>
        <xdr:cNvSpPr>
          <a:spLocks noChangeArrowheads="1"/>
        </xdr:cNvSpPr>
      </xdr:nvSpPr>
      <xdr:spPr bwMode="auto">
        <a:xfrm>
          <a:off x="76609575" y="2571750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0</xdr:colOff>
      <xdr:row>10</xdr:row>
      <xdr:rowOff>0</xdr:rowOff>
    </xdr:from>
    <xdr:to>
      <xdr:col>105</xdr:col>
      <xdr:colOff>19050</xdr:colOff>
      <xdr:row>10</xdr:row>
      <xdr:rowOff>142875</xdr:rowOff>
    </xdr:to>
    <xdr:sp macro="" textlink="">
      <xdr:nvSpPr>
        <xdr:cNvPr id="316433" name="Rectangle 27"/>
        <xdr:cNvSpPr>
          <a:spLocks noChangeArrowheads="1"/>
        </xdr:cNvSpPr>
      </xdr:nvSpPr>
      <xdr:spPr bwMode="auto">
        <a:xfrm>
          <a:off x="76609575" y="2571750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0</xdr:colOff>
      <xdr:row>10</xdr:row>
      <xdr:rowOff>0</xdr:rowOff>
    </xdr:from>
    <xdr:to>
      <xdr:col>105</xdr:col>
      <xdr:colOff>19050</xdr:colOff>
      <xdr:row>10</xdr:row>
      <xdr:rowOff>142875</xdr:rowOff>
    </xdr:to>
    <xdr:sp macro="" textlink="">
      <xdr:nvSpPr>
        <xdr:cNvPr id="316434" name="Rectangle 28"/>
        <xdr:cNvSpPr>
          <a:spLocks noChangeArrowheads="1"/>
        </xdr:cNvSpPr>
      </xdr:nvSpPr>
      <xdr:spPr bwMode="auto">
        <a:xfrm>
          <a:off x="76609575" y="2571750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0</xdr:colOff>
      <xdr:row>10</xdr:row>
      <xdr:rowOff>0</xdr:rowOff>
    </xdr:from>
    <xdr:to>
      <xdr:col>105</xdr:col>
      <xdr:colOff>19050</xdr:colOff>
      <xdr:row>10</xdr:row>
      <xdr:rowOff>142875</xdr:rowOff>
    </xdr:to>
    <xdr:sp macro="" textlink="">
      <xdr:nvSpPr>
        <xdr:cNvPr id="316435" name="Rectangle 27"/>
        <xdr:cNvSpPr>
          <a:spLocks noChangeArrowheads="1"/>
        </xdr:cNvSpPr>
      </xdr:nvSpPr>
      <xdr:spPr bwMode="auto">
        <a:xfrm>
          <a:off x="76609575" y="2571750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0</xdr:colOff>
      <xdr:row>10</xdr:row>
      <xdr:rowOff>0</xdr:rowOff>
    </xdr:from>
    <xdr:to>
      <xdr:col>105</xdr:col>
      <xdr:colOff>19050</xdr:colOff>
      <xdr:row>10</xdr:row>
      <xdr:rowOff>142875</xdr:rowOff>
    </xdr:to>
    <xdr:sp macro="" textlink="">
      <xdr:nvSpPr>
        <xdr:cNvPr id="316436" name="Rectangle 28"/>
        <xdr:cNvSpPr>
          <a:spLocks noChangeArrowheads="1"/>
        </xdr:cNvSpPr>
      </xdr:nvSpPr>
      <xdr:spPr bwMode="auto">
        <a:xfrm>
          <a:off x="76609575" y="2571750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0</xdr:colOff>
      <xdr:row>10</xdr:row>
      <xdr:rowOff>0</xdr:rowOff>
    </xdr:from>
    <xdr:to>
      <xdr:col>105</xdr:col>
      <xdr:colOff>19050</xdr:colOff>
      <xdr:row>10</xdr:row>
      <xdr:rowOff>142875</xdr:rowOff>
    </xdr:to>
    <xdr:sp macro="" textlink="">
      <xdr:nvSpPr>
        <xdr:cNvPr id="316437" name="Rectangle 27"/>
        <xdr:cNvSpPr>
          <a:spLocks noChangeArrowheads="1"/>
        </xdr:cNvSpPr>
      </xdr:nvSpPr>
      <xdr:spPr bwMode="auto">
        <a:xfrm>
          <a:off x="76609575" y="2571750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0</xdr:colOff>
      <xdr:row>10</xdr:row>
      <xdr:rowOff>0</xdr:rowOff>
    </xdr:from>
    <xdr:to>
      <xdr:col>105</xdr:col>
      <xdr:colOff>19050</xdr:colOff>
      <xdr:row>10</xdr:row>
      <xdr:rowOff>142875</xdr:rowOff>
    </xdr:to>
    <xdr:sp macro="" textlink="">
      <xdr:nvSpPr>
        <xdr:cNvPr id="316438" name="Rectangle 28"/>
        <xdr:cNvSpPr>
          <a:spLocks noChangeArrowheads="1"/>
        </xdr:cNvSpPr>
      </xdr:nvSpPr>
      <xdr:spPr bwMode="auto">
        <a:xfrm>
          <a:off x="76609575" y="2571750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0</xdr:colOff>
      <xdr:row>10</xdr:row>
      <xdr:rowOff>0</xdr:rowOff>
    </xdr:from>
    <xdr:to>
      <xdr:col>105</xdr:col>
      <xdr:colOff>19050</xdr:colOff>
      <xdr:row>10</xdr:row>
      <xdr:rowOff>142875</xdr:rowOff>
    </xdr:to>
    <xdr:sp macro="" textlink="">
      <xdr:nvSpPr>
        <xdr:cNvPr id="316439" name="Rectangle 27"/>
        <xdr:cNvSpPr>
          <a:spLocks noChangeArrowheads="1"/>
        </xdr:cNvSpPr>
      </xdr:nvSpPr>
      <xdr:spPr bwMode="auto">
        <a:xfrm>
          <a:off x="76609575" y="2571750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0</xdr:colOff>
      <xdr:row>10</xdr:row>
      <xdr:rowOff>0</xdr:rowOff>
    </xdr:from>
    <xdr:to>
      <xdr:col>105</xdr:col>
      <xdr:colOff>19050</xdr:colOff>
      <xdr:row>10</xdr:row>
      <xdr:rowOff>142875</xdr:rowOff>
    </xdr:to>
    <xdr:sp macro="" textlink="">
      <xdr:nvSpPr>
        <xdr:cNvPr id="316440" name="Rectangle 28"/>
        <xdr:cNvSpPr>
          <a:spLocks noChangeArrowheads="1"/>
        </xdr:cNvSpPr>
      </xdr:nvSpPr>
      <xdr:spPr bwMode="auto">
        <a:xfrm>
          <a:off x="76609575" y="2571750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0</xdr:colOff>
      <xdr:row>10</xdr:row>
      <xdr:rowOff>0</xdr:rowOff>
    </xdr:from>
    <xdr:to>
      <xdr:col>105</xdr:col>
      <xdr:colOff>19050</xdr:colOff>
      <xdr:row>10</xdr:row>
      <xdr:rowOff>142875</xdr:rowOff>
    </xdr:to>
    <xdr:sp macro="" textlink="">
      <xdr:nvSpPr>
        <xdr:cNvPr id="316441" name="Rectangle 27"/>
        <xdr:cNvSpPr>
          <a:spLocks noChangeArrowheads="1"/>
        </xdr:cNvSpPr>
      </xdr:nvSpPr>
      <xdr:spPr bwMode="auto">
        <a:xfrm>
          <a:off x="76609575" y="2571750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0</xdr:colOff>
      <xdr:row>10</xdr:row>
      <xdr:rowOff>0</xdr:rowOff>
    </xdr:from>
    <xdr:to>
      <xdr:col>105</xdr:col>
      <xdr:colOff>19050</xdr:colOff>
      <xdr:row>10</xdr:row>
      <xdr:rowOff>142875</xdr:rowOff>
    </xdr:to>
    <xdr:sp macro="" textlink="">
      <xdr:nvSpPr>
        <xdr:cNvPr id="316442" name="Rectangle 28"/>
        <xdr:cNvSpPr>
          <a:spLocks noChangeArrowheads="1"/>
        </xdr:cNvSpPr>
      </xdr:nvSpPr>
      <xdr:spPr bwMode="auto">
        <a:xfrm>
          <a:off x="76609575" y="2571750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0</xdr:colOff>
      <xdr:row>10</xdr:row>
      <xdr:rowOff>0</xdr:rowOff>
    </xdr:from>
    <xdr:to>
      <xdr:col>105</xdr:col>
      <xdr:colOff>19050</xdr:colOff>
      <xdr:row>10</xdr:row>
      <xdr:rowOff>142875</xdr:rowOff>
    </xdr:to>
    <xdr:sp macro="" textlink="">
      <xdr:nvSpPr>
        <xdr:cNvPr id="316443" name="Rectangle 27"/>
        <xdr:cNvSpPr>
          <a:spLocks noChangeArrowheads="1"/>
        </xdr:cNvSpPr>
      </xdr:nvSpPr>
      <xdr:spPr bwMode="auto">
        <a:xfrm>
          <a:off x="76609575" y="2571750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0</xdr:colOff>
      <xdr:row>10</xdr:row>
      <xdr:rowOff>0</xdr:rowOff>
    </xdr:from>
    <xdr:to>
      <xdr:col>105</xdr:col>
      <xdr:colOff>19050</xdr:colOff>
      <xdr:row>10</xdr:row>
      <xdr:rowOff>142875</xdr:rowOff>
    </xdr:to>
    <xdr:sp macro="" textlink="">
      <xdr:nvSpPr>
        <xdr:cNvPr id="316444" name="Rectangle 28"/>
        <xdr:cNvSpPr>
          <a:spLocks noChangeArrowheads="1"/>
        </xdr:cNvSpPr>
      </xdr:nvSpPr>
      <xdr:spPr bwMode="auto">
        <a:xfrm>
          <a:off x="76609575" y="2571750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0</xdr:colOff>
      <xdr:row>10</xdr:row>
      <xdr:rowOff>0</xdr:rowOff>
    </xdr:from>
    <xdr:to>
      <xdr:col>105</xdr:col>
      <xdr:colOff>19050</xdr:colOff>
      <xdr:row>10</xdr:row>
      <xdr:rowOff>142875</xdr:rowOff>
    </xdr:to>
    <xdr:sp macro="" textlink="">
      <xdr:nvSpPr>
        <xdr:cNvPr id="316445" name="Rectangle 27"/>
        <xdr:cNvSpPr>
          <a:spLocks noChangeArrowheads="1"/>
        </xdr:cNvSpPr>
      </xdr:nvSpPr>
      <xdr:spPr bwMode="auto">
        <a:xfrm>
          <a:off x="76609575" y="2571750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0</xdr:colOff>
      <xdr:row>10</xdr:row>
      <xdr:rowOff>0</xdr:rowOff>
    </xdr:from>
    <xdr:to>
      <xdr:col>105</xdr:col>
      <xdr:colOff>19050</xdr:colOff>
      <xdr:row>10</xdr:row>
      <xdr:rowOff>142875</xdr:rowOff>
    </xdr:to>
    <xdr:sp macro="" textlink="">
      <xdr:nvSpPr>
        <xdr:cNvPr id="316446" name="Rectangle 28"/>
        <xdr:cNvSpPr>
          <a:spLocks noChangeArrowheads="1"/>
        </xdr:cNvSpPr>
      </xdr:nvSpPr>
      <xdr:spPr bwMode="auto">
        <a:xfrm>
          <a:off x="76609575" y="2571750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0</xdr:colOff>
      <xdr:row>10</xdr:row>
      <xdr:rowOff>0</xdr:rowOff>
    </xdr:from>
    <xdr:to>
      <xdr:col>105</xdr:col>
      <xdr:colOff>19050</xdr:colOff>
      <xdr:row>10</xdr:row>
      <xdr:rowOff>142875</xdr:rowOff>
    </xdr:to>
    <xdr:sp macro="" textlink="">
      <xdr:nvSpPr>
        <xdr:cNvPr id="316447" name="Rectangle 27"/>
        <xdr:cNvSpPr>
          <a:spLocks noChangeArrowheads="1"/>
        </xdr:cNvSpPr>
      </xdr:nvSpPr>
      <xdr:spPr bwMode="auto">
        <a:xfrm>
          <a:off x="76609575" y="2571750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0</xdr:colOff>
      <xdr:row>10</xdr:row>
      <xdr:rowOff>0</xdr:rowOff>
    </xdr:from>
    <xdr:to>
      <xdr:col>105</xdr:col>
      <xdr:colOff>19050</xdr:colOff>
      <xdr:row>10</xdr:row>
      <xdr:rowOff>142875</xdr:rowOff>
    </xdr:to>
    <xdr:sp macro="" textlink="">
      <xdr:nvSpPr>
        <xdr:cNvPr id="316448" name="Rectangle 28"/>
        <xdr:cNvSpPr>
          <a:spLocks noChangeArrowheads="1"/>
        </xdr:cNvSpPr>
      </xdr:nvSpPr>
      <xdr:spPr bwMode="auto">
        <a:xfrm>
          <a:off x="76609575" y="2571750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0</xdr:colOff>
      <xdr:row>10</xdr:row>
      <xdr:rowOff>0</xdr:rowOff>
    </xdr:from>
    <xdr:to>
      <xdr:col>105</xdr:col>
      <xdr:colOff>19050</xdr:colOff>
      <xdr:row>10</xdr:row>
      <xdr:rowOff>142875</xdr:rowOff>
    </xdr:to>
    <xdr:sp macro="" textlink="">
      <xdr:nvSpPr>
        <xdr:cNvPr id="316449" name="Rectangle 27"/>
        <xdr:cNvSpPr>
          <a:spLocks noChangeArrowheads="1"/>
        </xdr:cNvSpPr>
      </xdr:nvSpPr>
      <xdr:spPr bwMode="auto">
        <a:xfrm>
          <a:off x="76609575" y="2571750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0</xdr:colOff>
      <xdr:row>10</xdr:row>
      <xdr:rowOff>0</xdr:rowOff>
    </xdr:from>
    <xdr:to>
      <xdr:col>105</xdr:col>
      <xdr:colOff>19050</xdr:colOff>
      <xdr:row>10</xdr:row>
      <xdr:rowOff>142875</xdr:rowOff>
    </xdr:to>
    <xdr:sp macro="" textlink="">
      <xdr:nvSpPr>
        <xdr:cNvPr id="316450" name="Rectangle 28"/>
        <xdr:cNvSpPr>
          <a:spLocks noChangeArrowheads="1"/>
        </xdr:cNvSpPr>
      </xdr:nvSpPr>
      <xdr:spPr bwMode="auto">
        <a:xfrm>
          <a:off x="76609575" y="2571750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0</xdr:colOff>
      <xdr:row>10</xdr:row>
      <xdr:rowOff>0</xdr:rowOff>
    </xdr:from>
    <xdr:to>
      <xdr:col>105</xdr:col>
      <xdr:colOff>19050</xdr:colOff>
      <xdr:row>10</xdr:row>
      <xdr:rowOff>142875</xdr:rowOff>
    </xdr:to>
    <xdr:sp macro="" textlink="">
      <xdr:nvSpPr>
        <xdr:cNvPr id="316451" name="Rectangle 27"/>
        <xdr:cNvSpPr>
          <a:spLocks noChangeArrowheads="1"/>
        </xdr:cNvSpPr>
      </xdr:nvSpPr>
      <xdr:spPr bwMode="auto">
        <a:xfrm>
          <a:off x="76609575" y="2571750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0</xdr:colOff>
      <xdr:row>10</xdr:row>
      <xdr:rowOff>0</xdr:rowOff>
    </xdr:from>
    <xdr:to>
      <xdr:col>105</xdr:col>
      <xdr:colOff>19050</xdr:colOff>
      <xdr:row>10</xdr:row>
      <xdr:rowOff>142875</xdr:rowOff>
    </xdr:to>
    <xdr:sp macro="" textlink="">
      <xdr:nvSpPr>
        <xdr:cNvPr id="316452" name="Rectangle 28"/>
        <xdr:cNvSpPr>
          <a:spLocks noChangeArrowheads="1"/>
        </xdr:cNvSpPr>
      </xdr:nvSpPr>
      <xdr:spPr bwMode="auto">
        <a:xfrm>
          <a:off x="76609575" y="2571750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0</xdr:colOff>
      <xdr:row>10</xdr:row>
      <xdr:rowOff>0</xdr:rowOff>
    </xdr:from>
    <xdr:to>
      <xdr:col>105</xdr:col>
      <xdr:colOff>19050</xdr:colOff>
      <xdr:row>10</xdr:row>
      <xdr:rowOff>142875</xdr:rowOff>
    </xdr:to>
    <xdr:sp macro="" textlink="">
      <xdr:nvSpPr>
        <xdr:cNvPr id="316453" name="Rectangle 27"/>
        <xdr:cNvSpPr>
          <a:spLocks noChangeArrowheads="1"/>
        </xdr:cNvSpPr>
      </xdr:nvSpPr>
      <xdr:spPr bwMode="auto">
        <a:xfrm>
          <a:off x="76609575" y="2571750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0</xdr:colOff>
      <xdr:row>10</xdr:row>
      <xdr:rowOff>0</xdr:rowOff>
    </xdr:from>
    <xdr:to>
      <xdr:col>105</xdr:col>
      <xdr:colOff>19050</xdr:colOff>
      <xdr:row>10</xdr:row>
      <xdr:rowOff>142875</xdr:rowOff>
    </xdr:to>
    <xdr:sp macro="" textlink="">
      <xdr:nvSpPr>
        <xdr:cNvPr id="316454" name="Rectangle 28"/>
        <xdr:cNvSpPr>
          <a:spLocks noChangeArrowheads="1"/>
        </xdr:cNvSpPr>
      </xdr:nvSpPr>
      <xdr:spPr bwMode="auto">
        <a:xfrm>
          <a:off x="76609575" y="2571750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0</xdr:colOff>
      <xdr:row>10</xdr:row>
      <xdr:rowOff>0</xdr:rowOff>
    </xdr:from>
    <xdr:to>
      <xdr:col>105</xdr:col>
      <xdr:colOff>19050</xdr:colOff>
      <xdr:row>10</xdr:row>
      <xdr:rowOff>142875</xdr:rowOff>
    </xdr:to>
    <xdr:sp macro="" textlink="">
      <xdr:nvSpPr>
        <xdr:cNvPr id="316455" name="Rectangle 27"/>
        <xdr:cNvSpPr>
          <a:spLocks noChangeArrowheads="1"/>
        </xdr:cNvSpPr>
      </xdr:nvSpPr>
      <xdr:spPr bwMode="auto">
        <a:xfrm>
          <a:off x="76609575" y="2571750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0</xdr:colOff>
      <xdr:row>10</xdr:row>
      <xdr:rowOff>0</xdr:rowOff>
    </xdr:from>
    <xdr:to>
      <xdr:col>105</xdr:col>
      <xdr:colOff>19050</xdr:colOff>
      <xdr:row>10</xdr:row>
      <xdr:rowOff>142875</xdr:rowOff>
    </xdr:to>
    <xdr:sp macro="" textlink="">
      <xdr:nvSpPr>
        <xdr:cNvPr id="316456" name="Rectangle 28"/>
        <xdr:cNvSpPr>
          <a:spLocks noChangeArrowheads="1"/>
        </xdr:cNvSpPr>
      </xdr:nvSpPr>
      <xdr:spPr bwMode="auto">
        <a:xfrm>
          <a:off x="76609575" y="2571750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0</xdr:colOff>
      <xdr:row>10</xdr:row>
      <xdr:rowOff>0</xdr:rowOff>
    </xdr:from>
    <xdr:to>
      <xdr:col>105</xdr:col>
      <xdr:colOff>19050</xdr:colOff>
      <xdr:row>10</xdr:row>
      <xdr:rowOff>142875</xdr:rowOff>
    </xdr:to>
    <xdr:sp macro="" textlink="">
      <xdr:nvSpPr>
        <xdr:cNvPr id="316457" name="Rectangle 27"/>
        <xdr:cNvSpPr>
          <a:spLocks noChangeArrowheads="1"/>
        </xdr:cNvSpPr>
      </xdr:nvSpPr>
      <xdr:spPr bwMode="auto">
        <a:xfrm>
          <a:off x="76609575" y="2571750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0</xdr:colOff>
      <xdr:row>10</xdr:row>
      <xdr:rowOff>0</xdr:rowOff>
    </xdr:from>
    <xdr:to>
      <xdr:col>105</xdr:col>
      <xdr:colOff>19050</xdr:colOff>
      <xdr:row>10</xdr:row>
      <xdr:rowOff>142875</xdr:rowOff>
    </xdr:to>
    <xdr:sp macro="" textlink="">
      <xdr:nvSpPr>
        <xdr:cNvPr id="316458" name="Rectangle 28"/>
        <xdr:cNvSpPr>
          <a:spLocks noChangeArrowheads="1"/>
        </xdr:cNvSpPr>
      </xdr:nvSpPr>
      <xdr:spPr bwMode="auto">
        <a:xfrm>
          <a:off x="76609575" y="2571750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0</xdr:colOff>
      <xdr:row>10</xdr:row>
      <xdr:rowOff>0</xdr:rowOff>
    </xdr:from>
    <xdr:to>
      <xdr:col>105</xdr:col>
      <xdr:colOff>19050</xdr:colOff>
      <xdr:row>10</xdr:row>
      <xdr:rowOff>142875</xdr:rowOff>
    </xdr:to>
    <xdr:sp macro="" textlink="">
      <xdr:nvSpPr>
        <xdr:cNvPr id="316459" name="Rectangle 27"/>
        <xdr:cNvSpPr>
          <a:spLocks noChangeArrowheads="1"/>
        </xdr:cNvSpPr>
      </xdr:nvSpPr>
      <xdr:spPr bwMode="auto">
        <a:xfrm>
          <a:off x="76609575" y="2571750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0</xdr:colOff>
      <xdr:row>10</xdr:row>
      <xdr:rowOff>0</xdr:rowOff>
    </xdr:from>
    <xdr:to>
      <xdr:col>105</xdr:col>
      <xdr:colOff>19050</xdr:colOff>
      <xdr:row>10</xdr:row>
      <xdr:rowOff>142875</xdr:rowOff>
    </xdr:to>
    <xdr:sp macro="" textlink="">
      <xdr:nvSpPr>
        <xdr:cNvPr id="316460" name="Rectangle 28"/>
        <xdr:cNvSpPr>
          <a:spLocks noChangeArrowheads="1"/>
        </xdr:cNvSpPr>
      </xdr:nvSpPr>
      <xdr:spPr bwMode="auto">
        <a:xfrm>
          <a:off x="76609575" y="2571750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0</xdr:colOff>
      <xdr:row>10</xdr:row>
      <xdr:rowOff>0</xdr:rowOff>
    </xdr:from>
    <xdr:to>
      <xdr:col>105</xdr:col>
      <xdr:colOff>19050</xdr:colOff>
      <xdr:row>10</xdr:row>
      <xdr:rowOff>142875</xdr:rowOff>
    </xdr:to>
    <xdr:sp macro="" textlink="">
      <xdr:nvSpPr>
        <xdr:cNvPr id="316461" name="Rectangle 27"/>
        <xdr:cNvSpPr>
          <a:spLocks noChangeArrowheads="1"/>
        </xdr:cNvSpPr>
      </xdr:nvSpPr>
      <xdr:spPr bwMode="auto">
        <a:xfrm>
          <a:off x="76609575" y="2571750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0</xdr:colOff>
      <xdr:row>10</xdr:row>
      <xdr:rowOff>0</xdr:rowOff>
    </xdr:from>
    <xdr:to>
      <xdr:col>105</xdr:col>
      <xdr:colOff>19050</xdr:colOff>
      <xdr:row>10</xdr:row>
      <xdr:rowOff>142875</xdr:rowOff>
    </xdr:to>
    <xdr:sp macro="" textlink="">
      <xdr:nvSpPr>
        <xdr:cNvPr id="316462" name="Rectangle 28"/>
        <xdr:cNvSpPr>
          <a:spLocks noChangeArrowheads="1"/>
        </xdr:cNvSpPr>
      </xdr:nvSpPr>
      <xdr:spPr bwMode="auto">
        <a:xfrm>
          <a:off x="76609575" y="2571750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0</xdr:colOff>
      <xdr:row>10</xdr:row>
      <xdr:rowOff>0</xdr:rowOff>
    </xdr:from>
    <xdr:to>
      <xdr:col>105</xdr:col>
      <xdr:colOff>19050</xdr:colOff>
      <xdr:row>10</xdr:row>
      <xdr:rowOff>142875</xdr:rowOff>
    </xdr:to>
    <xdr:sp macro="" textlink="">
      <xdr:nvSpPr>
        <xdr:cNvPr id="316463" name="Rectangle 27"/>
        <xdr:cNvSpPr>
          <a:spLocks noChangeArrowheads="1"/>
        </xdr:cNvSpPr>
      </xdr:nvSpPr>
      <xdr:spPr bwMode="auto">
        <a:xfrm>
          <a:off x="76609575" y="2571750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0</xdr:colOff>
      <xdr:row>10</xdr:row>
      <xdr:rowOff>0</xdr:rowOff>
    </xdr:from>
    <xdr:to>
      <xdr:col>105</xdr:col>
      <xdr:colOff>19050</xdr:colOff>
      <xdr:row>10</xdr:row>
      <xdr:rowOff>142875</xdr:rowOff>
    </xdr:to>
    <xdr:sp macro="" textlink="">
      <xdr:nvSpPr>
        <xdr:cNvPr id="316464" name="Rectangle 28"/>
        <xdr:cNvSpPr>
          <a:spLocks noChangeArrowheads="1"/>
        </xdr:cNvSpPr>
      </xdr:nvSpPr>
      <xdr:spPr bwMode="auto">
        <a:xfrm>
          <a:off x="76609575" y="2571750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0</xdr:colOff>
      <xdr:row>10</xdr:row>
      <xdr:rowOff>0</xdr:rowOff>
    </xdr:from>
    <xdr:to>
      <xdr:col>105</xdr:col>
      <xdr:colOff>19050</xdr:colOff>
      <xdr:row>10</xdr:row>
      <xdr:rowOff>142875</xdr:rowOff>
    </xdr:to>
    <xdr:sp macro="" textlink="">
      <xdr:nvSpPr>
        <xdr:cNvPr id="316465" name="Rectangle 27"/>
        <xdr:cNvSpPr>
          <a:spLocks noChangeArrowheads="1"/>
        </xdr:cNvSpPr>
      </xdr:nvSpPr>
      <xdr:spPr bwMode="auto">
        <a:xfrm>
          <a:off x="76609575" y="2571750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0</xdr:colOff>
      <xdr:row>10</xdr:row>
      <xdr:rowOff>0</xdr:rowOff>
    </xdr:from>
    <xdr:to>
      <xdr:col>105</xdr:col>
      <xdr:colOff>19050</xdr:colOff>
      <xdr:row>10</xdr:row>
      <xdr:rowOff>142875</xdr:rowOff>
    </xdr:to>
    <xdr:sp macro="" textlink="">
      <xdr:nvSpPr>
        <xdr:cNvPr id="316466" name="Rectangle 28"/>
        <xdr:cNvSpPr>
          <a:spLocks noChangeArrowheads="1"/>
        </xdr:cNvSpPr>
      </xdr:nvSpPr>
      <xdr:spPr bwMode="auto">
        <a:xfrm>
          <a:off x="76609575" y="2571750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0</xdr:colOff>
      <xdr:row>10</xdr:row>
      <xdr:rowOff>0</xdr:rowOff>
    </xdr:from>
    <xdr:to>
      <xdr:col>105</xdr:col>
      <xdr:colOff>19050</xdr:colOff>
      <xdr:row>10</xdr:row>
      <xdr:rowOff>142875</xdr:rowOff>
    </xdr:to>
    <xdr:sp macro="" textlink="">
      <xdr:nvSpPr>
        <xdr:cNvPr id="316467" name="Rectangle 27"/>
        <xdr:cNvSpPr>
          <a:spLocks noChangeArrowheads="1"/>
        </xdr:cNvSpPr>
      </xdr:nvSpPr>
      <xdr:spPr bwMode="auto">
        <a:xfrm>
          <a:off x="76609575" y="2571750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0</xdr:colOff>
      <xdr:row>10</xdr:row>
      <xdr:rowOff>0</xdr:rowOff>
    </xdr:from>
    <xdr:to>
      <xdr:col>105</xdr:col>
      <xdr:colOff>19050</xdr:colOff>
      <xdr:row>10</xdr:row>
      <xdr:rowOff>142875</xdr:rowOff>
    </xdr:to>
    <xdr:sp macro="" textlink="">
      <xdr:nvSpPr>
        <xdr:cNvPr id="316468" name="Rectangle 28"/>
        <xdr:cNvSpPr>
          <a:spLocks noChangeArrowheads="1"/>
        </xdr:cNvSpPr>
      </xdr:nvSpPr>
      <xdr:spPr bwMode="auto">
        <a:xfrm>
          <a:off x="76609575" y="2571750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0</xdr:colOff>
      <xdr:row>10</xdr:row>
      <xdr:rowOff>0</xdr:rowOff>
    </xdr:from>
    <xdr:to>
      <xdr:col>105</xdr:col>
      <xdr:colOff>19050</xdr:colOff>
      <xdr:row>10</xdr:row>
      <xdr:rowOff>142875</xdr:rowOff>
    </xdr:to>
    <xdr:sp macro="" textlink="">
      <xdr:nvSpPr>
        <xdr:cNvPr id="316469" name="Rectangle 27"/>
        <xdr:cNvSpPr>
          <a:spLocks noChangeArrowheads="1"/>
        </xdr:cNvSpPr>
      </xdr:nvSpPr>
      <xdr:spPr bwMode="auto">
        <a:xfrm>
          <a:off x="76609575" y="2571750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0</xdr:colOff>
      <xdr:row>10</xdr:row>
      <xdr:rowOff>0</xdr:rowOff>
    </xdr:from>
    <xdr:to>
      <xdr:col>105</xdr:col>
      <xdr:colOff>19050</xdr:colOff>
      <xdr:row>10</xdr:row>
      <xdr:rowOff>142875</xdr:rowOff>
    </xdr:to>
    <xdr:sp macro="" textlink="">
      <xdr:nvSpPr>
        <xdr:cNvPr id="316470" name="Rectangle 28"/>
        <xdr:cNvSpPr>
          <a:spLocks noChangeArrowheads="1"/>
        </xdr:cNvSpPr>
      </xdr:nvSpPr>
      <xdr:spPr bwMode="auto">
        <a:xfrm>
          <a:off x="76609575" y="2571750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0</xdr:colOff>
      <xdr:row>10</xdr:row>
      <xdr:rowOff>0</xdr:rowOff>
    </xdr:from>
    <xdr:to>
      <xdr:col>105</xdr:col>
      <xdr:colOff>19050</xdr:colOff>
      <xdr:row>10</xdr:row>
      <xdr:rowOff>190500</xdr:rowOff>
    </xdr:to>
    <xdr:sp macro="" textlink="">
      <xdr:nvSpPr>
        <xdr:cNvPr id="316471" name="Rectangle 27"/>
        <xdr:cNvSpPr>
          <a:spLocks noChangeArrowheads="1"/>
        </xdr:cNvSpPr>
      </xdr:nvSpPr>
      <xdr:spPr bwMode="auto">
        <a:xfrm>
          <a:off x="76609575" y="2571750"/>
          <a:ext cx="190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0</xdr:colOff>
      <xdr:row>10</xdr:row>
      <xdr:rowOff>0</xdr:rowOff>
    </xdr:from>
    <xdr:to>
      <xdr:col>105</xdr:col>
      <xdr:colOff>19050</xdr:colOff>
      <xdr:row>10</xdr:row>
      <xdr:rowOff>190500</xdr:rowOff>
    </xdr:to>
    <xdr:sp macro="" textlink="">
      <xdr:nvSpPr>
        <xdr:cNvPr id="316472" name="Rectangle 28"/>
        <xdr:cNvSpPr>
          <a:spLocks noChangeArrowheads="1"/>
        </xdr:cNvSpPr>
      </xdr:nvSpPr>
      <xdr:spPr bwMode="auto">
        <a:xfrm>
          <a:off x="76609575" y="2571750"/>
          <a:ext cx="190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0</xdr:colOff>
      <xdr:row>10</xdr:row>
      <xdr:rowOff>0</xdr:rowOff>
    </xdr:from>
    <xdr:to>
      <xdr:col>105</xdr:col>
      <xdr:colOff>19050</xdr:colOff>
      <xdr:row>10</xdr:row>
      <xdr:rowOff>190500</xdr:rowOff>
    </xdr:to>
    <xdr:sp macro="" textlink="">
      <xdr:nvSpPr>
        <xdr:cNvPr id="316473" name="Rectangle 28"/>
        <xdr:cNvSpPr>
          <a:spLocks noChangeArrowheads="1"/>
        </xdr:cNvSpPr>
      </xdr:nvSpPr>
      <xdr:spPr bwMode="auto">
        <a:xfrm>
          <a:off x="76609575" y="2571750"/>
          <a:ext cx="190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0</xdr:colOff>
      <xdr:row>10</xdr:row>
      <xdr:rowOff>0</xdr:rowOff>
    </xdr:from>
    <xdr:to>
      <xdr:col>105</xdr:col>
      <xdr:colOff>19050</xdr:colOff>
      <xdr:row>10</xdr:row>
      <xdr:rowOff>190500</xdr:rowOff>
    </xdr:to>
    <xdr:sp macro="" textlink="">
      <xdr:nvSpPr>
        <xdr:cNvPr id="316474" name="Rectangle 28"/>
        <xdr:cNvSpPr>
          <a:spLocks noChangeArrowheads="1"/>
        </xdr:cNvSpPr>
      </xdr:nvSpPr>
      <xdr:spPr bwMode="auto">
        <a:xfrm>
          <a:off x="76609575" y="2571750"/>
          <a:ext cx="190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0</xdr:colOff>
      <xdr:row>10</xdr:row>
      <xdr:rowOff>0</xdr:rowOff>
    </xdr:from>
    <xdr:to>
      <xdr:col>105</xdr:col>
      <xdr:colOff>19050</xdr:colOff>
      <xdr:row>10</xdr:row>
      <xdr:rowOff>190500</xdr:rowOff>
    </xdr:to>
    <xdr:sp macro="" textlink="">
      <xdr:nvSpPr>
        <xdr:cNvPr id="316475" name="Rectangle 27"/>
        <xdr:cNvSpPr>
          <a:spLocks noChangeArrowheads="1"/>
        </xdr:cNvSpPr>
      </xdr:nvSpPr>
      <xdr:spPr bwMode="auto">
        <a:xfrm>
          <a:off x="76609575" y="2571750"/>
          <a:ext cx="190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0</xdr:colOff>
      <xdr:row>10</xdr:row>
      <xdr:rowOff>0</xdr:rowOff>
    </xdr:from>
    <xdr:to>
      <xdr:col>105</xdr:col>
      <xdr:colOff>19050</xdr:colOff>
      <xdr:row>10</xdr:row>
      <xdr:rowOff>190500</xdr:rowOff>
    </xdr:to>
    <xdr:sp macro="" textlink="">
      <xdr:nvSpPr>
        <xdr:cNvPr id="316476" name="Rectangle 28"/>
        <xdr:cNvSpPr>
          <a:spLocks noChangeArrowheads="1"/>
        </xdr:cNvSpPr>
      </xdr:nvSpPr>
      <xdr:spPr bwMode="auto">
        <a:xfrm>
          <a:off x="76609575" y="2571750"/>
          <a:ext cx="190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0</xdr:colOff>
      <xdr:row>10</xdr:row>
      <xdr:rowOff>0</xdr:rowOff>
    </xdr:from>
    <xdr:to>
      <xdr:col>105</xdr:col>
      <xdr:colOff>19050</xdr:colOff>
      <xdr:row>10</xdr:row>
      <xdr:rowOff>190500</xdr:rowOff>
    </xdr:to>
    <xdr:sp macro="" textlink="">
      <xdr:nvSpPr>
        <xdr:cNvPr id="316477" name="Rectangle 28"/>
        <xdr:cNvSpPr>
          <a:spLocks noChangeArrowheads="1"/>
        </xdr:cNvSpPr>
      </xdr:nvSpPr>
      <xdr:spPr bwMode="auto">
        <a:xfrm>
          <a:off x="76609575" y="2571750"/>
          <a:ext cx="190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0</xdr:colOff>
      <xdr:row>10</xdr:row>
      <xdr:rowOff>0</xdr:rowOff>
    </xdr:from>
    <xdr:to>
      <xdr:col>105</xdr:col>
      <xdr:colOff>19050</xdr:colOff>
      <xdr:row>10</xdr:row>
      <xdr:rowOff>190500</xdr:rowOff>
    </xdr:to>
    <xdr:sp macro="" textlink="">
      <xdr:nvSpPr>
        <xdr:cNvPr id="316478" name="Rectangle 28"/>
        <xdr:cNvSpPr>
          <a:spLocks noChangeArrowheads="1"/>
        </xdr:cNvSpPr>
      </xdr:nvSpPr>
      <xdr:spPr bwMode="auto">
        <a:xfrm>
          <a:off x="76609575" y="2571750"/>
          <a:ext cx="190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0</xdr:colOff>
      <xdr:row>10</xdr:row>
      <xdr:rowOff>0</xdr:rowOff>
    </xdr:from>
    <xdr:to>
      <xdr:col>105</xdr:col>
      <xdr:colOff>19050</xdr:colOff>
      <xdr:row>10</xdr:row>
      <xdr:rowOff>190500</xdr:rowOff>
    </xdr:to>
    <xdr:sp macro="" textlink="">
      <xdr:nvSpPr>
        <xdr:cNvPr id="316479" name="Rectangle 28"/>
        <xdr:cNvSpPr>
          <a:spLocks noChangeArrowheads="1"/>
        </xdr:cNvSpPr>
      </xdr:nvSpPr>
      <xdr:spPr bwMode="auto">
        <a:xfrm>
          <a:off x="76609575" y="2571750"/>
          <a:ext cx="190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0</xdr:colOff>
      <xdr:row>10</xdr:row>
      <xdr:rowOff>0</xdr:rowOff>
    </xdr:from>
    <xdr:to>
      <xdr:col>105</xdr:col>
      <xdr:colOff>19050</xdr:colOff>
      <xdr:row>10</xdr:row>
      <xdr:rowOff>190500</xdr:rowOff>
    </xdr:to>
    <xdr:sp macro="" textlink="">
      <xdr:nvSpPr>
        <xdr:cNvPr id="316480" name="Rectangle 27"/>
        <xdr:cNvSpPr>
          <a:spLocks noChangeArrowheads="1"/>
        </xdr:cNvSpPr>
      </xdr:nvSpPr>
      <xdr:spPr bwMode="auto">
        <a:xfrm>
          <a:off x="76609575" y="2571750"/>
          <a:ext cx="190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0</xdr:colOff>
      <xdr:row>10</xdr:row>
      <xdr:rowOff>0</xdr:rowOff>
    </xdr:from>
    <xdr:to>
      <xdr:col>105</xdr:col>
      <xdr:colOff>19050</xdr:colOff>
      <xdr:row>10</xdr:row>
      <xdr:rowOff>190500</xdr:rowOff>
    </xdr:to>
    <xdr:sp macro="" textlink="">
      <xdr:nvSpPr>
        <xdr:cNvPr id="316481" name="Rectangle 28"/>
        <xdr:cNvSpPr>
          <a:spLocks noChangeArrowheads="1"/>
        </xdr:cNvSpPr>
      </xdr:nvSpPr>
      <xdr:spPr bwMode="auto">
        <a:xfrm>
          <a:off x="76609575" y="2571750"/>
          <a:ext cx="190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0</xdr:colOff>
      <xdr:row>10</xdr:row>
      <xdr:rowOff>0</xdr:rowOff>
    </xdr:from>
    <xdr:to>
      <xdr:col>105</xdr:col>
      <xdr:colOff>19050</xdr:colOff>
      <xdr:row>10</xdr:row>
      <xdr:rowOff>190500</xdr:rowOff>
    </xdr:to>
    <xdr:sp macro="" textlink="">
      <xdr:nvSpPr>
        <xdr:cNvPr id="316482" name="Rectangle 27"/>
        <xdr:cNvSpPr>
          <a:spLocks noChangeArrowheads="1"/>
        </xdr:cNvSpPr>
      </xdr:nvSpPr>
      <xdr:spPr bwMode="auto">
        <a:xfrm>
          <a:off x="76609575" y="2571750"/>
          <a:ext cx="190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0</xdr:colOff>
      <xdr:row>10</xdr:row>
      <xdr:rowOff>0</xdr:rowOff>
    </xdr:from>
    <xdr:to>
      <xdr:col>105</xdr:col>
      <xdr:colOff>19050</xdr:colOff>
      <xdr:row>10</xdr:row>
      <xdr:rowOff>190500</xdr:rowOff>
    </xdr:to>
    <xdr:sp macro="" textlink="">
      <xdr:nvSpPr>
        <xdr:cNvPr id="316483" name="Rectangle 28"/>
        <xdr:cNvSpPr>
          <a:spLocks noChangeArrowheads="1"/>
        </xdr:cNvSpPr>
      </xdr:nvSpPr>
      <xdr:spPr bwMode="auto">
        <a:xfrm>
          <a:off x="76609575" y="2571750"/>
          <a:ext cx="190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0</xdr:colOff>
      <xdr:row>10</xdr:row>
      <xdr:rowOff>0</xdr:rowOff>
    </xdr:from>
    <xdr:to>
      <xdr:col>105</xdr:col>
      <xdr:colOff>19050</xdr:colOff>
      <xdr:row>10</xdr:row>
      <xdr:rowOff>190500</xdr:rowOff>
    </xdr:to>
    <xdr:sp macro="" textlink="">
      <xdr:nvSpPr>
        <xdr:cNvPr id="316484" name="Rectangle 27"/>
        <xdr:cNvSpPr>
          <a:spLocks noChangeArrowheads="1"/>
        </xdr:cNvSpPr>
      </xdr:nvSpPr>
      <xdr:spPr bwMode="auto">
        <a:xfrm>
          <a:off x="76609575" y="2571750"/>
          <a:ext cx="190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0</xdr:colOff>
      <xdr:row>10</xdr:row>
      <xdr:rowOff>0</xdr:rowOff>
    </xdr:from>
    <xdr:to>
      <xdr:col>105</xdr:col>
      <xdr:colOff>19050</xdr:colOff>
      <xdr:row>10</xdr:row>
      <xdr:rowOff>190500</xdr:rowOff>
    </xdr:to>
    <xdr:sp macro="" textlink="">
      <xdr:nvSpPr>
        <xdr:cNvPr id="316485" name="Rectangle 28"/>
        <xdr:cNvSpPr>
          <a:spLocks noChangeArrowheads="1"/>
        </xdr:cNvSpPr>
      </xdr:nvSpPr>
      <xdr:spPr bwMode="auto">
        <a:xfrm>
          <a:off x="76609575" y="2571750"/>
          <a:ext cx="190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0</xdr:colOff>
      <xdr:row>10</xdr:row>
      <xdr:rowOff>0</xdr:rowOff>
    </xdr:from>
    <xdr:to>
      <xdr:col>105</xdr:col>
      <xdr:colOff>19050</xdr:colOff>
      <xdr:row>10</xdr:row>
      <xdr:rowOff>190500</xdr:rowOff>
    </xdr:to>
    <xdr:sp macro="" textlink="">
      <xdr:nvSpPr>
        <xdr:cNvPr id="316486" name="Rectangle 27"/>
        <xdr:cNvSpPr>
          <a:spLocks noChangeArrowheads="1"/>
        </xdr:cNvSpPr>
      </xdr:nvSpPr>
      <xdr:spPr bwMode="auto">
        <a:xfrm>
          <a:off x="76609575" y="2571750"/>
          <a:ext cx="190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0</xdr:colOff>
      <xdr:row>10</xdr:row>
      <xdr:rowOff>0</xdr:rowOff>
    </xdr:from>
    <xdr:to>
      <xdr:col>105</xdr:col>
      <xdr:colOff>19050</xdr:colOff>
      <xdr:row>10</xdr:row>
      <xdr:rowOff>190500</xdr:rowOff>
    </xdr:to>
    <xdr:sp macro="" textlink="">
      <xdr:nvSpPr>
        <xdr:cNvPr id="316487" name="Rectangle 28"/>
        <xdr:cNvSpPr>
          <a:spLocks noChangeArrowheads="1"/>
        </xdr:cNvSpPr>
      </xdr:nvSpPr>
      <xdr:spPr bwMode="auto">
        <a:xfrm>
          <a:off x="76609575" y="2571750"/>
          <a:ext cx="190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0</xdr:colOff>
      <xdr:row>10</xdr:row>
      <xdr:rowOff>0</xdr:rowOff>
    </xdr:from>
    <xdr:to>
      <xdr:col>105</xdr:col>
      <xdr:colOff>19050</xdr:colOff>
      <xdr:row>10</xdr:row>
      <xdr:rowOff>190500</xdr:rowOff>
    </xdr:to>
    <xdr:sp macro="" textlink="">
      <xdr:nvSpPr>
        <xdr:cNvPr id="316488" name="Rectangle 27"/>
        <xdr:cNvSpPr>
          <a:spLocks noChangeArrowheads="1"/>
        </xdr:cNvSpPr>
      </xdr:nvSpPr>
      <xdr:spPr bwMode="auto">
        <a:xfrm>
          <a:off x="76609575" y="2571750"/>
          <a:ext cx="190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0</xdr:colOff>
      <xdr:row>10</xdr:row>
      <xdr:rowOff>0</xdr:rowOff>
    </xdr:from>
    <xdr:to>
      <xdr:col>105</xdr:col>
      <xdr:colOff>19050</xdr:colOff>
      <xdr:row>10</xdr:row>
      <xdr:rowOff>142875</xdr:rowOff>
    </xdr:to>
    <xdr:sp macro="" textlink="">
      <xdr:nvSpPr>
        <xdr:cNvPr id="316489" name="Rectangle 27"/>
        <xdr:cNvSpPr>
          <a:spLocks noChangeArrowheads="1"/>
        </xdr:cNvSpPr>
      </xdr:nvSpPr>
      <xdr:spPr bwMode="auto">
        <a:xfrm>
          <a:off x="76609575" y="2571750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0</xdr:colOff>
      <xdr:row>10</xdr:row>
      <xdr:rowOff>0</xdr:rowOff>
    </xdr:from>
    <xdr:to>
      <xdr:col>105</xdr:col>
      <xdr:colOff>19050</xdr:colOff>
      <xdr:row>10</xdr:row>
      <xdr:rowOff>142875</xdr:rowOff>
    </xdr:to>
    <xdr:sp macro="" textlink="">
      <xdr:nvSpPr>
        <xdr:cNvPr id="316490" name="Rectangle 28"/>
        <xdr:cNvSpPr>
          <a:spLocks noChangeArrowheads="1"/>
        </xdr:cNvSpPr>
      </xdr:nvSpPr>
      <xdr:spPr bwMode="auto">
        <a:xfrm>
          <a:off x="76609575" y="2571750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0</xdr:colOff>
      <xdr:row>10</xdr:row>
      <xdr:rowOff>0</xdr:rowOff>
    </xdr:from>
    <xdr:to>
      <xdr:col>105</xdr:col>
      <xdr:colOff>19050</xdr:colOff>
      <xdr:row>10</xdr:row>
      <xdr:rowOff>142875</xdr:rowOff>
    </xdr:to>
    <xdr:sp macro="" textlink="">
      <xdr:nvSpPr>
        <xdr:cNvPr id="316491" name="Rectangle 28"/>
        <xdr:cNvSpPr>
          <a:spLocks noChangeArrowheads="1"/>
        </xdr:cNvSpPr>
      </xdr:nvSpPr>
      <xdr:spPr bwMode="auto">
        <a:xfrm>
          <a:off x="76609575" y="2571750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0</xdr:colOff>
      <xdr:row>10</xdr:row>
      <xdr:rowOff>0</xdr:rowOff>
    </xdr:from>
    <xdr:to>
      <xdr:col>105</xdr:col>
      <xdr:colOff>19050</xdr:colOff>
      <xdr:row>10</xdr:row>
      <xdr:rowOff>142875</xdr:rowOff>
    </xdr:to>
    <xdr:sp macro="" textlink="">
      <xdr:nvSpPr>
        <xdr:cNvPr id="316492" name="Rectangle 28"/>
        <xdr:cNvSpPr>
          <a:spLocks noChangeArrowheads="1"/>
        </xdr:cNvSpPr>
      </xdr:nvSpPr>
      <xdr:spPr bwMode="auto">
        <a:xfrm>
          <a:off x="76609575" y="2571750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0</xdr:colOff>
      <xdr:row>10</xdr:row>
      <xdr:rowOff>0</xdr:rowOff>
    </xdr:from>
    <xdr:to>
      <xdr:col>105</xdr:col>
      <xdr:colOff>19050</xdr:colOff>
      <xdr:row>10</xdr:row>
      <xdr:rowOff>142875</xdr:rowOff>
    </xdr:to>
    <xdr:sp macro="" textlink="">
      <xdr:nvSpPr>
        <xdr:cNvPr id="316493" name="Rectangle 27"/>
        <xdr:cNvSpPr>
          <a:spLocks noChangeArrowheads="1"/>
        </xdr:cNvSpPr>
      </xdr:nvSpPr>
      <xdr:spPr bwMode="auto">
        <a:xfrm>
          <a:off x="76609575" y="2571750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0</xdr:colOff>
      <xdr:row>10</xdr:row>
      <xdr:rowOff>0</xdr:rowOff>
    </xdr:from>
    <xdr:to>
      <xdr:col>105</xdr:col>
      <xdr:colOff>19050</xdr:colOff>
      <xdr:row>10</xdr:row>
      <xdr:rowOff>142875</xdr:rowOff>
    </xdr:to>
    <xdr:sp macro="" textlink="">
      <xdr:nvSpPr>
        <xdr:cNvPr id="316494" name="Rectangle 28"/>
        <xdr:cNvSpPr>
          <a:spLocks noChangeArrowheads="1"/>
        </xdr:cNvSpPr>
      </xdr:nvSpPr>
      <xdr:spPr bwMode="auto">
        <a:xfrm>
          <a:off x="76609575" y="2571750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0</xdr:colOff>
      <xdr:row>10</xdr:row>
      <xdr:rowOff>0</xdr:rowOff>
    </xdr:from>
    <xdr:to>
      <xdr:col>105</xdr:col>
      <xdr:colOff>19050</xdr:colOff>
      <xdr:row>10</xdr:row>
      <xdr:rowOff>142875</xdr:rowOff>
    </xdr:to>
    <xdr:sp macro="" textlink="">
      <xdr:nvSpPr>
        <xdr:cNvPr id="316495" name="Rectangle 28"/>
        <xdr:cNvSpPr>
          <a:spLocks noChangeArrowheads="1"/>
        </xdr:cNvSpPr>
      </xdr:nvSpPr>
      <xdr:spPr bwMode="auto">
        <a:xfrm>
          <a:off x="76609575" y="2571750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0</xdr:colOff>
      <xdr:row>10</xdr:row>
      <xdr:rowOff>0</xdr:rowOff>
    </xdr:from>
    <xdr:to>
      <xdr:col>105</xdr:col>
      <xdr:colOff>19050</xdr:colOff>
      <xdr:row>10</xdr:row>
      <xdr:rowOff>142875</xdr:rowOff>
    </xdr:to>
    <xdr:sp macro="" textlink="">
      <xdr:nvSpPr>
        <xdr:cNvPr id="316496" name="Rectangle 28"/>
        <xdr:cNvSpPr>
          <a:spLocks noChangeArrowheads="1"/>
        </xdr:cNvSpPr>
      </xdr:nvSpPr>
      <xdr:spPr bwMode="auto">
        <a:xfrm>
          <a:off x="76609575" y="2571750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0</xdr:colOff>
      <xdr:row>10</xdr:row>
      <xdr:rowOff>0</xdr:rowOff>
    </xdr:from>
    <xdr:to>
      <xdr:col>105</xdr:col>
      <xdr:colOff>19050</xdr:colOff>
      <xdr:row>10</xdr:row>
      <xdr:rowOff>142875</xdr:rowOff>
    </xdr:to>
    <xdr:sp macro="" textlink="">
      <xdr:nvSpPr>
        <xdr:cNvPr id="316497" name="Rectangle 28"/>
        <xdr:cNvSpPr>
          <a:spLocks noChangeArrowheads="1"/>
        </xdr:cNvSpPr>
      </xdr:nvSpPr>
      <xdr:spPr bwMode="auto">
        <a:xfrm>
          <a:off x="76609575" y="2571750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0</xdr:colOff>
      <xdr:row>10</xdr:row>
      <xdr:rowOff>0</xdr:rowOff>
    </xdr:from>
    <xdr:to>
      <xdr:col>105</xdr:col>
      <xdr:colOff>19050</xdr:colOff>
      <xdr:row>10</xdr:row>
      <xdr:rowOff>142875</xdr:rowOff>
    </xdr:to>
    <xdr:sp macro="" textlink="">
      <xdr:nvSpPr>
        <xdr:cNvPr id="316498" name="Rectangle 27"/>
        <xdr:cNvSpPr>
          <a:spLocks noChangeArrowheads="1"/>
        </xdr:cNvSpPr>
      </xdr:nvSpPr>
      <xdr:spPr bwMode="auto">
        <a:xfrm>
          <a:off x="76609575" y="2571750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0</xdr:colOff>
      <xdr:row>10</xdr:row>
      <xdr:rowOff>0</xdr:rowOff>
    </xdr:from>
    <xdr:to>
      <xdr:col>105</xdr:col>
      <xdr:colOff>19050</xdr:colOff>
      <xdr:row>10</xdr:row>
      <xdr:rowOff>142875</xdr:rowOff>
    </xdr:to>
    <xdr:sp macro="" textlink="">
      <xdr:nvSpPr>
        <xdr:cNvPr id="316499" name="Rectangle 28"/>
        <xdr:cNvSpPr>
          <a:spLocks noChangeArrowheads="1"/>
        </xdr:cNvSpPr>
      </xdr:nvSpPr>
      <xdr:spPr bwMode="auto">
        <a:xfrm>
          <a:off x="76609575" y="2571750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0</xdr:colOff>
      <xdr:row>10</xdr:row>
      <xdr:rowOff>0</xdr:rowOff>
    </xdr:from>
    <xdr:to>
      <xdr:col>105</xdr:col>
      <xdr:colOff>19050</xdr:colOff>
      <xdr:row>10</xdr:row>
      <xdr:rowOff>142875</xdr:rowOff>
    </xdr:to>
    <xdr:sp macro="" textlink="">
      <xdr:nvSpPr>
        <xdr:cNvPr id="316500" name="Rectangle 27"/>
        <xdr:cNvSpPr>
          <a:spLocks noChangeArrowheads="1"/>
        </xdr:cNvSpPr>
      </xdr:nvSpPr>
      <xdr:spPr bwMode="auto">
        <a:xfrm>
          <a:off x="76609575" y="2571750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0</xdr:colOff>
      <xdr:row>10</xdr:row>
      <xdr:rowOff>0</xdr:rowOff>
    </xdr:from>
    <xdr:to>
      <xdr:col>105</xdr:col>
      <xdr:colOff>19050</xdr:colOff>
      <xdr:row>10</xdr:row>
      <xdr:rowOff>142875</xdr:rowOff>
    </xdr:to>
    <xdr:sp macro="" textlink="">
      <xdr:nvSpPr>
        <xdr:cNvPr id="316501" name="Rectangle 27"/>
        <xdr:cNvSpPr>
          <a:spLocks noChangeArrowheads="1"/>
        </xdr:cNvSpPr>
      </xdr:nvSpPr>
      <xdr:spPr bwMode="auto">
        <a:xfrm>
          <a:off x="76609575" y="2571750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0</xdr:colOff>
      <xdr:row>10</xdr:row>
      <xdr:rowOff>0</xdr:rowOff>
    </xdr:from>
    <xdr:to>
      <xdr:col>105</xdr:col>
      <xdr:colOff>19050</xdr:colOff>
      <xdr:row>10</xdr:row>
      <xdr:rowOff>142875</xdr:rowOff>
    </xdr:to>
    <xdr:sp macro="" textlink="">
      <xdr:nvSpPr>
        <xdr:cNvPr id="316502" name="Rectangle 28"/>
        <xdr:cNvSpPr>
          <a:spLocks noChangeArrowheads="1"/>
        </xdr:cNvSpPr>
      </xdr:nvSpPr>
      <xdr:spPr bwMode="auto">
        <a:xfrm>
          <a:off x="76609575" y="2571750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0</xdr:colOff>
      <xdr:row>10</xdr:row>
      <xdr:rowOff>0</xdr:rowOff>
    </xdr:from>
    <xdr:to>
      <xdr:col>105</xdr:col>
      <xdr:colOff>19050</xdr:colOff>
      <xdr:row>10</xdr:row>
      <xdr:rowOff>142875</xdr:rowOff>
    </xdr:to>
    <xdr:sp macro="" textlink="">
      <xdr:nvSpPr>
        <xdr:cNvPr id="316503" name="Rectangle 27"/>
        <xdr:cNvSpPr>
          <a:spLocks noChangeArrowheads="1"/>
        </xdr:cNvSpPr>
      </xdr:nvSpPr>
      <xdr:spPr bwMode="auto">
        <a:xfrm>
          <a:off x="76609575" y="2571750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0</xdr:colOff>
      <xdr:row>10</xdr:row>
      <xdr:rowOff>0</xdr:rowOff>
    </xdr:from>
    <xdr:to>
      <xdr:col>105</xdr:col>
      <xdr:colOff>19050</xdr:colOff>
      <xdr:row>10</xdr:row>
      <xdr:rowOff>190500</xdr:rowOff>
    </xdr:to>
    <xdr:sp macro="" textlink="">
      <xdr:nvSpPr>
        <xdr:cNvPr id="316504" name="Rectangle 27"/>
        <xdr:cNvSpPr>
          <a:spLocks noChangeArrowheads="1"/>
        </xdr:cNvSpPr>
      </xdr:nvSpPr>
      <xdr:spPr bwMode="auto">
        <a:xfrm>
          <a:off x="76609575" y="2571750"/>
          <a:ext cx="190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0</xdr:colOff>
      <xdr:row>10</xdr:row>
      <xdr:rowOff>0</xdr:rowOff>
    </xdr:from>
    <xdr:to>
      <xdr:col>105</xdr:col>
      <xdr:colOff>19050</xdr:colOff>
      <xdr:row>10</xdr:row>
      <xdr:rowOff>190500</xdr:rowOff>
    </xdr:to>
    <xdr:sp macro="" textlink="">
      <xdr:nvSpPr>
        <xdr:cNvPr id="316505" name="Rectangle 28"/>
        <xdr:cNvSpPr>
          <a:spLocks noChangeArrowheads="1"/>
        </xdr:cNvSpPr>
      </xdr:nvSpPr>
      <xdr:spPr bwMode="auto">
        <a:xfrm>
          <a:off x="76609575" y="2571750"/>
          <a:ext cx="190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0</xdr:colOff>
      <xdr:row>10</xdr:row>
      <xdr:rowOff>0</xdr:rowOff>
    </xdr:from>
    <xdr:to>
      <xdr:col>105</xdr:col>
      <xdr:colOff>19050</xdr:colOff>
      <xdr:row>10</xdr:row>
      <xdr:rowOff>190500</xdr:rowOff>
    </xdr:to>
    <xdr:sp macro="" textlink="">
      <xdr:nvSpPr>
        <xdr:cNvPr id="316506" name="Rectangle 28"/>
        <xdr:cNvSpPr>
          <a:spLocks noChangeArrowheads="1"/>
        </xdr:cNvSpPr>
      </xdr:nvSpPr>
      <xdr:spPr bwMode="auto">
        <a:xfrm>
          <a:off x="76609575" y="2571750"/>
          <a:ext cx="190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0</xdr:colOff>
      <xdr:row>10</xdr:row>
      <xdr:rowOff>0</xdr:rowOff>
    </xdr:from>
    <xdr:to>
      <xdr:col>105</xdr:col>
      <xdr:colOff>19050</xdr:colOff>
      <xdr:row>10</xdr:row>
      <xdr:rowOff>190500</xdr:rowOff>
    </xdr:to>
    <xdr:sp macro="" textlink="">
      <xdr:nvSpPr>
        <xdr:cNvPr id="316507" name="Rectangle 28"/>
        <xdr:cNvSpPr>
          <a:spLocks noChangeArrowheads="1"/>
        </xdr:cNvSpPr>
      </xdr:nvSpPr>
      <xdr:spPr bwMode="auto">
        <a:xfrm>
          <a:off x="76609575" y="2571750"/>
          <a:ext cx="190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0</xdr:colOff>
      <xdr:row>10</xdr:row>
      <xdr:rowOff>0</xdr:rowOff>
    </xdr:from>
    <xdr:to>
      <xdr:col>105</xdr:col>
      <xdr:colOff>19050</xdr:colOff>
      <xdr:row>10</xdr:row>
      <xdr:rowOff>190500</xdr:rowOff>
    </xdr:to>
    <xdr:sp macro="" textlink="">
      <xdr:nvSpPr>
        <xdr:cNvPr id="316508" name="Rectangle 28"/>
        <xdr:cNvSpPr>
          <a:spLocks noChangeArrowheads="1"/>
        </xdr:cNvSpPr>
      </xdr:nvSpPr>
      <xdr:spPr bwMode="auto">
        <a:xfrm>
          <a:off x="76609575" y="2571750"/>
          <a:ext cx="190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0</xdr:colOff>
      <xdr:row>10</xdr:row>
      <xdr:rowOff>0</xdr:rowOff>
    </xdr:from>
    <xdr:to>
      <xdr:col>105</xdr:col>
      <xdr:colOff>19050</xdr:colOff>
      <xdr:row>10</xdr:row>
      <xdr:rowOff>190500</xdr:rowOff>
    </xdr:to>
    <xdr:sp macro="" textlink="">
      <xdr:nvSpPr>
        <xdr:cNvPr id="316509" name="Rectangle 27"/>
        <xdr:cNvSpPr>
          <a:spLocks noChangeArrowheads="1"/>
        </xdr:cNvSpPr>
      </xdr:nvSpPr>
      <xdr:spPr bwMode="auto">
        <a:xfrm>
          <a:off x="76609575" y="2571750"/>
          <a:ext cx="190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0</xdr:colOff>
      <xdr:row>10</xdr:row>
      <xdr:rowOff>0</xdr:rowOff>
    </xdr:from>
    <xdr:to>
      <xdr:col>105</xdr:col>
      <xdr:colOff>19050</xdr:colOff>
      <xdr:row>10</xdr:row>
      <xdr:rowOff>190500</xdr:rowOff>
    </xdr:to>
    <xdr:sp macro="" textlink="">
      <xdr:nvSpPr>
        <xdr:cNvPr id="316510" name="Rectangle 28"/>
        <xdr:cNvSpPr>
          <a:spLocks noChangeArrowheads="1"/>
        </xdr:cNvSpPr>
      </xdr:nvSpPr>
      <xdr:spPr bwMode="auto">
        <a:xfrm>
          <a:off x="76609575" y="2571750"/>
          <a:ext cx="190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0</xdr:colOff>
      <xdr:row>10</xdr:row>
      <xdr:rowOff>0</xdr:rowOff>
    </xdr:from>
    <xdr:to>
      <xdr:col>105</xdr:col>
      <xdr:colOff>19050</xdr:colOff>
      <xdr:row>10</xdr:row>
      <xdr:rowOff>190500</xdr:rowOff>
    </xdr:to>
    <xdr:sp macro="" textlink="">
      <xdr:nvSpPr>
        <xdr:cNvPr id="316511" name="Rectangle 27"/>
        <xdr:cNvSpPr>
          <a:spLocks noChangeArrowheads="1"/>
        </xdr:cNvSpPr>
      </xdr:nvSpPr>
      <xdr:spPr bwMode="auto">
        <a:xfrm>
          <a:off x="76609575" y="2571750"/>
          <a:ext cx="190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0</xdr:colOff>
      <xdr:row>10</xdr:row>
      <xdr:rowOff>0</xdr:rowOff>
    </xdr:from>
    <xdr:to>
      <xdr:col>105</xdr:col>
      <xdr:colOff>19050</xdr:colOff>
      <xdr:row>10</xdr:row>
      <xdr:rowOff>190500</xdr:rowOff>
    </xdr:to>
    <xdr:sp macro="" textlink="">
      <xdr:nvSpPr>
        <xdr:cNvPr id="316512" name="Rectangle 28"/>
        <xdr:cNvSpPr>
          <a:spLocks noChangeArrowheads="1"/>
        </xdr:cNvSpPr>
      </xdr:nvSpPr>
      <xdr:spPr bwMode="auto">
        <a:xfrm>
          <a:off x="76609575" y="2571750"/>
          <a:ext cx="190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0</xdr:colOff>
      <xdr:row>10</xdr:row>
      <xdr:rowOff>0</xdr:rowOff>
    </xdr:from>
    <xdr:to>
      <xdr:col>105</xdr:col>
      <xdr:colOff>19050</xdr:colOff>
      <xdr:row>10</xdr:row>
      <xdr:rowOff>190500</xdr:rowOff>
    </xdr:to>
    <xdr:sp macro="" textlink="">
      <xdr:nvSpPr>
        <xdr:cNvPr id="316513" name="Rectangle 28"/>
        <xdr:cNvSpPr>
          <a:spLocks noChangeArrowheads="1"/>
        </xdr:cNvSpPr>
      </xdr:nvSpPr>
      <xdr:spPr bwMode="auto">
        <a:xfrm>
          <a:off x="76609575" y="2571750"/>
          <a:ext cx="190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0</xdr:colOff>
      <xdr:row>10</xdr:row>
      <xdr:rowOff>0</xdr:rowOff>
    </xdr:from>
    <xdr:to>
      <xdr:col>105</xdr:col>
      <xdr:colOff>19050</xdr:colOff>
      <xdr:row>10</xdr:row>
      <xdr:rowOff>190500</xdr:rowOff>
    </xdr:to>
    <xdr:sp macro="" textlink="">
      <xdr:nvSpPr>
        <xdr:cNvPr id="316514" name="Rectangle 28"/>
        <xdr:cNvSpPr>
          <a:spLocks noChangeArrowheads="1"/>
        </xdr:cNvSpPr>
      </xdr:nvSpPr>
      <xdr:spPr bwMode="auto">
        <a:xfrm>
          <a:off x="76609575" y="2571750"/>
          <a:ext cx="190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0</xdr:colOff>
      <xdr:row>10</xdr:row>
      <xdr:rowOff>0</xdr:rowOff>
    </xdr:from>
    <xdr:to>
      <xdr:col>105</xdr:col>
      <xdr:colOff>19050</xdr:colOff>
      <xdr:row>10</xdr:row>
      <xdr:rowOff>190500</xdr:rowOff>
    </xdr:to>
    <xdr:sp macro="" textlink="">
      <xdr:nvSpPr>
        <xdr:cNvPr id="316515" name="Rectangle 28"/>
        <xdr:cNvSpPr>
          <a:spLocks noChangeArrowheads="1"/>
        </xdr:cNvSpPr>
      </xdr:nvSpPr>
      <xdr:spPr bwMode="auto">
        <a:xfrm>
          <a:off x="76609575" y="2571750"/>
          <a:ext cx="190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0</xdr:colOff>
      <xdr:row>10</xdr:row>
      <xdr:rowOff>0</xdr:rowOff>
    </xdr:from>
    <xdr:to>
      <xdr:col>105</xdr:col>
      <xdr:colOff>19050</xdr:colOff>
      <xdr:row>10</xdr:row>
      <xdr:rowOff>190500</xdr:rowOff>
    </xdr:to>
    <xdr:sp macro="" textlink="">
      <xdr:nvSpPr>
        <xdr:cNvPr id="316516" name="Rectangle 27"/>
        <xdr:cNvSpPr>
          <a:spLocks noChangeArrowheads="1"/>
        </xdr:cNvSpPr>
      </xdr:nvSpPr>
      <xdr:spPr bwMode="auto">
        <a:xfrm>
          <a:off x="76609575" y="2571750"/>
          <a:ext cx="190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0</xdr:colOff>
      <xdr:row>10</xdr:row>
      <xdr:rowOff>0</xdr:rowOff>
    </xdr:from>
    <xdr:to>
      <xdr:col>105</xdr:col>
      <xdr:colOff>19050</xdr:colOff>
      <xdr:row>10</xdr:row>
      <xdr:rowOff>190500</xdr:rowOff>
    </xdr:to>
    <xdr:sp macro="" textlink="">
      <xdr:nvSpPr>
        <xdr:cNvPr id="316517" name="Rectangle 28"/>
        <xdr:cNvSpPr>
          <a:spLocks noChangeArrowheads="1"/>
        </xdr:cNvSpPr>
      </xdr:nvSpPr>
      <xdr:spPr bwMode="auto">
        <a:xfrm>
          <a:off x="76609575" y="2571750"/>
          <a:ext cx="190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0</xdr:colOff>
      <xdr:row>10</xdr:row>
      <xdr:rowOff>0</xdr:rowOff>
    </xdr:from>
    <xdr:to>
      <xdr:col>105</xdr:col>
      <xdr:colOff>19050</xdr:colOff>
      <xdr:row>10</xdr:row>
      <xdr:rowOff>190500</xdr:rowOff>
    </xdr:to>
    <xdr:sp macro="" textlink="">
      <xdr:nvSpPr>
        <xdr:cNvPr id="316518" name="Rectangle 28"/>
        <xdr:cNvSpPr>
          <a:spLocks noChangeArrowheads="1"/>
        </xdr:cNvSpPr>
      </xdr:nvSpPr>
      <xdr:spPr bwMode="auto">
        <a:xfrm>
          <a:off x="76609575" y="2571750"/>
          <a:ext cx="190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0</xdr:colOff>
      <xdr:row>10</xdr:row>
      <xdr:rowOff>0</xdr:rowOff>
    </xdr:from>
    <xdr:to>
      <xdr:col>105</xdr:col>
      <xdr:colOff>19050</xdr:colOff>
      <xdr:row>10</xdr:row>
      <xdr:rowOff>190500</xdr:rowOff>
    </xdr:to>
    <xdr:sp macro="" textlink="">
      <xdr:nvSpPr>
        <xdr:cNvPr id="316519" name="Rectangle 28"/>
        <xdr:cNvSpPr>
          <a:spLocks noChangeArrowheads="1"/>
        </xdr:cNvSpPr>
      </xdr:nvSpPr>
      <xdr:spPr bwMode="auto">
        <a:xfrm>
          <a:off x="76609575" y="2571750"/>
          <a:ext cx="190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0</xdr:colOff>
      <xdr:row>10</xdr:row>
      <xdr:rowOff>0</xdr:rowOff>
    </xdr:from>
    <xdr:to>
      <xdr:col>105</xdr:col>
      <xdr:colOff>19050</xdr:colOff>
      <xdr:row>10</xdr:row>
      <xdr:rowOff>190500</xdr:rowOff>
    </xdr:to>
    <xdr:sp macro="" textlink="">
      <xdr:nvSpPr>
        <xdr:cNvPr id="316520" name="Rectangle 27"/>
        <xdr:cNvSpPr>
          <a:spLocks noChangeArrowheads="1"/>
        </xdr:cNvSpPr>
      </xdr:nvSpPr>
      <xdr:spPr bwMode="auto">
        <a:xfrm>
          <a:off x="76609575" y="2571750"/>
          <a:ext cx="190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0</xdr:colOff>
      <xdr:row>10</xdr:row>
      <xdr:rowOff>0</xdr:rowOff>
    </xdr:from>
    <xdr:to>
      <xdr:col>105</xdr:col>
      <xdr:colOff>19050</xdr:colOff>
      <xdr:row>10</xdr:row>
      <xdr:rowOff>190500</xdr:rowOff>
    </xdr:to>
    <xdr:sp macro="" textlink="">
      <xdr:nvSpPr>
        <xdr:cNvPr id="316521" name="Rectangle 28"/>
        <xdr:cNvSpPr>
          <a:spLocks noChangeArrowheads="1"/>
        </xdr:cNvSpPr>
      </xdr:nvSpPr>
      <xdr:spPr bwMode="auto">
        <a:xfrm>
          <a:off x="76609575" y="2571750"/>
          <a:ext cx="190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0</xdr:colOff>
      <xdr:row>10</xdr:row>
      <xdr:rowOff>0</xdr:rowOff>
    </xdr:from>
    <xdr:to>
      <xdr:col>105</xdr:col>
      <xdr:colOff>19050</xdr:colOff>
      <xdr:row>10</xdr:row>
      <xdr:rowOff>190500</xdr:rowOff>
    </xdr:to>
    <xdr:sp macro="" textlink="">
      <xdr:nvSpPr>
        <xdr:cNvPr id="316522" name="Rectangle 28"/>
        <xdr:cNvSpPr>
          <a:spLocks noChangeArrowheads="1"/>
        </xdr:cNvSpPr>
      </xdr:nvSpPr>
      <xdr:spPr bwMode="auto">
        <a:xfrm>
          <a:off x="76609575" y="2571750"/>
          <a:ext cx="190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0</xdr:colOff>
      <xdr:row>10</xdr:row>
      <xdr:rowOff>0</xdr:rowOff>
    </xdr:from>
    <xdr:to>
      <xdr:col>105</xdr:col>
      <xdr:colOff>19050</xdr:colOff>
      <xdr:row>10</xdr:row>
      <xdr:rowOff>190500</xdr:rowOff>
    </xdr:to>
    <xdr:sp macro="" textlink="">
      <xdr:nvSpPr>
        <xdr:cNvPr id="316523" name="Rectangle 27"/>
        <xdr:cNvSpPr>
          <a:spLocks noChangeArrowheads="1"/>
        </xdr:cNvSpPr>
      </xdr:nvSpPr>
      <xdr:spPr bwMode="auto">
        <a:xfrm>
          <a:off x="76609575" y="2571750"/>
          <a:ext cx="190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0</xdr:colOff>
      <xdr:row>10</xdr:row>
      <xdr:rowOff>0</xdr:rowOff>
    </xdr:from>
    <xdr:to>
      <xdr:col>105</xdr:col>
      <xdr:colOff>19050</xdr:colOff>
      <xdr:row>10</xdr:row>
      <xdr:rowOff>190500</xdr:rowOff>
    </xdr:to>
    <xdr:sp macro="" textlink="">
      <xdr:nvSpPr>
        <xdr:cNvPr id="316524" name="Rectangle 28"/>
        <xdr:cNvSpPr>
          <a:spLocks noChangeArrowheads="1"/>
        </xdr:cNvSpPr>
      </xdr:nvSpPr>
      <xdr:spPr bwMode="auto">
        <a:xfrm>
          <a:off x="76609575" y="2571750"/>
          <a:ext cx="190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0</xdr:colOff>
      <xdr:row>10</xdr:row>
      <xdr:rowOff>0</xdr:rowOff>
    </xdr:from>
    <xdr:to>
      <xdr:col>105</xdr:col>
      <xdr:colOff>19050</xdr:colOff>
      <xdr:row>10</xdr:row>
      <xdr:rowOff>190500</xdr:rowOff>
    </xdr:to>
    <xdr:sp macro="" textlink="">
      <xdr:nvSpPr>
        <xdr:cNvPr id="316525" name="Rectangle 28"/>
        <xdr:cNvSpPr>
          <a:spLocks noChangeArrowheads="1"/>
        </xdr:cNvSpPr>
      </xdr:nvSpPr>
      <xdr:spPr bwMode="auto">
        <a:xfrm>
          <a:off x="76609575" y="2571750"/>
          <a:ext cx="190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0</xdr:colOff>
      <xdr:row>10</xdr:row>
      <xdr:rowOff>0</xdr:rowOff>
    </xdr:from>
    <xdr:to>
      <xdr:col>105</xdr:col>
      <xdr:colOff>19050</xdr:colOff>
      <xdr:row>10</xdr:row>
      <xdr:rowOff>190500</xdr:rowOff>
    </xdr:to>
    <xdr:sp macro="" textlink="">
      <xdr:nvSpPr>
        <xdr:cNvPr id="316526" name="Rectangle 27"/>
        <xdr:cNvSpPr>
          <a:spLocks noChangeArrowheads="1"/>
        </xdr:cNvSpPr>
      </xdr:nvSpPr>
      <xdr:spPr bwMode="auto">
        <a:xfrm>
          <a:off x="76609575" y="2571750"/>
          <a:ext cx="190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0</xdr:colOff>
      <xdr:row>10</xdr:row>
      <xdr:rowOff>0</xdr:rowOff>
    </xdr:from>
    <xdr:to>
      <xdr:col>105</xdr:col>
      <xdr:colOff>19050</xdr:colOff>
      <xdr:row>10</xdr:row>
      <xdr:rowOff>190500</xdr:rowOff>
    </xdr:to>
    <xdr:sp macro="" textlink="">
      <xdr:nvSpPr>
        <xdr:cNvPr id="316527" name="Rectangle 28"/>
        <xdr:cNvSpPr>
          <a:spLocks noChangeArrowheads="1"/>
        </xdr:cNvSpPr>
      </xdr:nvSpPr>
      <xdr:spPr bwMode="auto">
        <a:xfrm>
          <a:off x="76609575" y="2571750"/>
          <a:ext cx="190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0</xdr:colOff>
      <xdr:row>10</xdr:row>
      <xdr:rowOff>0</xdr:rowOff>
    </xdr:from>
    <xdr:to>
      <xdr:col>105</xdr:col>
      <xdr:colOff>19050</xdr:colOff>
      <xdr:row>10</xdr:row>
      <xdr:rowOff>190500</xdr:rowOff>
    </xdr:to>
    <xdr:sp macro="" textlink="">
      <xdr:nvSpPr>
        <xdr:cNvPr id="316528" name="Rectangle 27"/>
        <xdr:cNvSpPr>
          <a:spLocks noChangeArrowheads="1"/>
        </xdr:cNvSpPr>
      </xdr:nvSpPr>
      <xdr:spPr bwMode="auto">
        <a:xfrm>
          <a:off x="76609575" y="2571750"/>
          <a:ext cx="190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0</xdr:colOff>
      <xdr:row>10</xdr:row>
      <xdr:rowOff>0</xdr:rowOff>
    </xdr:from>
    <xdr:to>
      <xdr:col>105</xdr:col>
      <xdr:colOff>19050</xdr:colOff>
      <xdr:row>10</xdr:row>
      <xdr:rowOff>190500</xdr:rowOff>
    </xdr:to>
    <xdr:sp macro="" textlink="">
      <xdr:nvSpPr>
        <xdr:cNvPr id="316529" name="Rectangle 28"/>
        <xdr:cNvSpPr>
          <a:spLocks noChangeArrowheads="1"/>
        </xdr:cNvSpPr>
      </xdr:nvSpPr>
      <xdr:spPr bwMode="auto">
        <a:xfrm>
          <a:off x="76609575" y="2571750"/>
          <a:ext cx="190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0</xdr:colOff>
      <xdr:row>10</xdr:row>
      <xdr:rowOff>0</xdr:rowOff>
    </xdr:from>
    <xdr:to>
      <xdr:col>105</xdr:col>
      <xdr:colOff>19050</xdr:colOff>
      <xdr:row>10</xdr:row>
      <xdr:rowOff>190500</xdr:rowOff>
    </xdr:to>
    <xdr:sp macro="" textlink="">
      <xdr:nvSpPr>
        <xdr:cNvPr id="316530" name="Rectangle 27"/>
        <xdr:cNvSpPr>
          <a:spLocks noChangeArrowheads="1"/>
        </xdr:cNvSpPr>
      </xdr:nvSpPr>
      <xdr:spPr bwMode="auto">
        <a:xfrm>
          <a:off x="76609575" y="2571750"/>
          <a:ext cx="190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0</xdr:colOff>
      <xdr:row>10</xdr:row>
      <xdr:rowOff>0</xdr:rowOff>
    </xdr:from>
    <xdr:to>
      <xdr:col>105</xdr:col>
      <xdr:colOff>19050</xdr:colOff>
      <xdr:row>10</xdr:row>
      <xdr:rowOff>190500</xdr:rowOff>
    </xdr:to>
    <xdr:sp macro="" textlink="">
      <xdr:nvSpPr>
        <xdr:cNvPr id="316531" name="Rectangle 27"/>
        <xdr:cNvSpPr>
          <a:spLocks noChangeArrowheads="1"/>
        </xdr:cNvSpPr>
      </xdr:nvSpPr>
      <xdr:spPr bwMode="auto">
        <a:xfrm>
          <a:off x="76609575" y="2571750"/>
          <a:ext cx="190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0</xdr:colOff>
      <xdr:row>10</xdr:row>
      <xdr:rowOff>0</xdr:rowOff>
    </xdr:from>
    <xdr:to>
      <xdr:col>105</xdr:col>
      <xdr:colOff>19050</xdr:colOff>
      <xdr:row>10</xdr:row>
      <xdr:rowOff>142875</xdr:rowOff>
    </xdr:to>
    <xdr:sp macro="" textlink="">
      <xdr:nvSpPr>
        <xdr:cNvPr id="316532" name="Rectangle 28"/>
        <xdr:cNvSpPr>
          <a:spLocks noChangeArrowheads="1"/>
        </xdr:cNvSpPr>
      </xdr:nvSpPr>
      <xdr:spPr bwMode="auto">
        <a:xfrm>
          <a:off x="76609575" y="2571750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0</xdr:colOff>
      <xdr:row>10</xdr:row>
      <xdr:rowOff>0</xdr:rowOff>
    </xdr:from>
    <xdr:to>
      <xdr:col>105</xdr:col>
      <xdr:colOff>19050</xdr:colOff>
      <xdr:row>10</xdr:row>
      <xdr:rowOff>142875</xdr:rowOff>
    </xdr:to>
    <xdr:sp macro="" textlink="">
      <xdr:nvSpPr>
        <xdr:cNvPr id="316533" name="Rectangle 28"/>
        <xdr:cNvSpPr>
          <a:spLocks noChangeArrowheads="1"/>
        </xdr:cNvSpPr>
      </xdr:nvSpPr>
      <xdr:spPr bwMode="auto">
        <a:xfrm>
          <a:off x="76609575" y="2571750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0</xdr:colOff>
      <xdr:row>10</xdr:row>
      <xdr:rowOff>0</xdr:rowOff>
    </xdr:from>
    <xdr:to>
      <xdr:col>105</xdr:col>
      <xdr:colOff>19050</xdr:colOff>
      <xdr:row>10</xdr:row>
      <xdr:rowOff>190500</xdr:rowOff>
    </xdr:to>
    <xdr:sp macro="" textlink="">
      <xdr:nvSpPr>
        <xdr:cNvPr id="316534" name="Rectangle 28"/>
        <xdr:cNvSpPr>
          <a:spLocks noChangeArrowheads="1"/>
        </xdr:cNvSpPr>
      </xdr:nvSpPr>
      <xdr:spPr bwMode="auto">
        <a:xfrm>
          <a:off x="76609575" y="2571750"/>
          <a:ext cx="190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0</xdr:colOff>
      <xdr:row>3</xdr:row>
      <xdr:rowOff>0</xdr:rowOff>
    </xdr:from>
    <xdr:to>
      <xdr:col>105</xdr:col>
      <xdr:colOff>190500</xdr:colOff>
      <xdr:row>7</xdr:row>
      <xdr:rowOff>123825</xdr:rowOff>
    </xdr:to>
    <xdr:sp macro="" textlink="">
      <xdr:nvSpPr>
        <xdr:cNvPr id="316535" name="Obdélník 1342"/>
        <xdr:cNvSpPr>
          <a:spLocks noChangeArrowheads="1"/>
        </xdr:cNvSpPr>
      </xdr:nvSpPr>
      <xdr:spPr bwMode="auto">
        <a:xfrm>
          <a:off x="76609575" y="1171575"/>
          <a:ext cx="190500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0</xdr:colOff>
      <xdr:row>10</xdr:row>
      <xdr:rowOff>0</xdr:rowOff>
    </xdr:from>
    <xdr:to>
      <xdr:col>105</xdr:col>
      <xdr:colOff>19050</xdr:colOff>
      <xdr:row>10</xdr:row>
      <xdr:rowOff>142875</xdr:rowOff>
    </xdr:to>
    <xdr:sp macro="" textlink="">
      <xdr:nvSpPr>
        <xdr:cNvPr id="316536" name="Rectangle 28"/>
        <xdr:cNvSpPr>
          <a:spLocks noChangeArrowheads="1"/>
        </xdr:cNvSpPr>
      </xdr:nvSpPr>
      <xdr:spPr bwMode="auto">
        <a:xfrm>
          <a:off x="76609575" y="2571750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0</xdr:colOff>
      <xdr:row>10</xdr:row>
      <xdr:rowOff>0</xdr:rowOff>
    </xdr:from>
    <xdr:to>
      <xdr:col>105</xdr:col>
      <xdr:colOff>19050</xdr:colOff>
      <xdr:row>10</xdr:row>
      <xdr:rowOff>142875</xdr:rowOff>
    </xdr:to>
    <xdr:sp macro="" textlink="">
      <xdr:nvSpPr>
        <xdr:cNvPr id="316537" name="Rectangle 28"/>
        <xdr:cNvSpPr>
          <a:spLocks noChangeArrowheads="1"/>
        </xdr:cNvSpPr>
      </xdr:nvSpPr>
      <xdr:spPr bwMode="auto">
        <a:xfrm>
          <a:off x="76609575" y="2571750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0</xdr:colOff>
      <xdr:row>10</xdr:row>
      <xdr:rowOff>0</xdr:rowOff>
    </xdr:from>
    <xdr:to>
      <xdr:col>105</xdr:col>
      <xdr:colOff>19050</xdr:colOff>
      <xdr:row>10</xdr:row>
      <xdr:rowOff>142875</xdr:rowOff>
    </xdr:to>
    <xdr:sp macro="" textlink="">
      <xdr:nvSpPr>
        <xdr:cNvPr id="316538" name="Rectangle 28"/>
        <xdr:cNvSpPr>
          <a:spLocks noChangeArrowheads="1"/>
        </xdr:cNvSpPr>
      </xdr:nvSpPr>
      <xdr:spPr bwMode="auto">
        <a:xfrm>
          <a:off x="76609575" y="2571750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0</xdr:colOff>
      <xdr:row>10</xdr:row>
      <xdr:rowOff>0</xdr:rowOff>
    </xdr:from>
    <xdr:to>
      <xdr:col>105</xdr:col>
      <xdr:colOff>19050</xdr:colOff>
      <xdr:row>10</xdr:row>
      <xdr:rowOff>142875</xdr:rowOff>
    </xdr:to>
    <xdr:sp macro="" textlink="">
      <xdr:nvSpPr>
        <xdr:cNvPr id="316539" name="Rectangle 27"/>
        <xdr:cNvSpPr>
          <a:spLocks noChangeArrowheads="1"/>
        </xdr:cNvSpPr>
      </xdr:nvSpPr>
      <xdr:spPr bwMode="auto">
        <a:xfrm>
          <a:off x="76609575" y="2571750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0</xdr:colOff>
      <xdr:row>10</xdr:row>
      <xdr:rowOff>0</xdr:rowOff>
    </xdr:from>
    <xdr:to>
      <xdr:col>105</xdr:col>
      <xdr:colOff>19050</xdr:colOff>
      <xdr:row>10</xdr:row>
      <xdr:rowOff>142875</xdr:rowOff>
    </xdr:to>
    <xdr:sp macro="" textlink="">
      <xdr:nvSpPr>
        <xdr:cNvPr id="316540" name="Rectangle 28"/>
        <xdr:cNvSpPr>
          <a:spLocks noChangeArrowheads="1"/>
        </xdr:cNvSpPr>
      </xdr:nvSpPr>
      <xdr:spPr bwMode="auto">
        <a:xfrm>
          <a:off x="76609575" y="2571750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0</xdr:colOff>
      <xdr:row>10</xdr:row>
      <xdr:rowOff>0</xdr:rowOff>
    </xdr:from>
    <xdr:to>
      <xdr:col>105</xdr:col>
      <xdr:colOff>19050</xdr:colOff>
      <xdr:row>10</xdr:row>
      <xdr:rowOff>142875</xdr:rowOff>
    </xdr:to>
    <xdr:sp macro="" textlink="">
      <xdr:nvSpPr>
        <xdr:cNvPr id="316541" name="Rectangle 27"/>
        <xdr:cNvSpPr>
          <a:spLocks noChangeArrowheads="1"/>
        </xdr:cNvSpPr>
      </xdr:nvSpPr>
      <xdr:spPr bwMode="auto">
        <a:xfrm>
          <a:off x="76609575" y="2571750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0</xdr:colOff>
      <xdr:row>10</xdr:row>
      <xdr:rowOff>0</xdr:rowOff>
    </xdr:from>
    <xdr:to>
      <xdr:col>105</xdr:col>
      <xdr:colOff>19050</xdr:colOff>
      <xdr:row>10</xdr:row>
      <xdr:rowOff>142875</xdr:rowOff>
    </xdr:to>
    <xdr:sp macro="" textlink="">
      <xdr:nvSpPr>
        <xdr:cNvPr id="316542" name="Rectangle 28"/>
        <xdr:cNvSpPr>
          <a:spLocks noChangeArrowheads="1"/>
        </xdr:cNvSpPr>
      </xdr:nvSpPr>
      <xdr:spPr bwMode="auto">
        <a:xfrm>
          <a:off x="76609575" y="2571750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0</xdr:colOff>
      <xdr:row>10</xdr:row>
      <xdr:rowOff>0</xdr:rowOff>
    </xdr:from>
    <xdr:to>
      <xdr:col>105</xdr:col>
      <xdr:colOff>19050</xdr:colOff>
      <xdr:row>10</xdr:row>
      <xdr:rowOff>142875</xdr:rowOff>
    </xdr:to>
    <xdr:sp macro="" textlink="">
      <xdr:nvSpPr>
        <xdr:cNvPr id="316543" name="Rectangle 28"/>
        <xdr:cNvSpPr>
          <a:spLocks noChangeArrowheads="1"/>
        </xdr:cNvSpPr>
      </xdr:nvSpPr>
      <xdr:spPr bwMode="auto">
        <a:xfrm>
          <a:off x="76609575" y="2571750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0</xdr:colOff>
      <xdr:row>10</xdr:row>
      <xdr:rowOff>0</xdr:rowOff>
    </xdr:from>
    <xdr:to>
      <xdr:col>105</xdr:col>
      <xdr:colOff>19050</xdr:colOff>
      <xdr:row>10</xdr:row>
      <xdr:rowOff>142875</xdr:rowOff>
    </xdr:to>
    <xdr:sp macro="" textlink="">
      <xdr:nvSpPr>
        <xdr:cNvPr id="316544" name="Rectangle 28"/>
        <xdr:cNvSpPr>
          <a:spLocks noChangeArrowheads="1"/>
        </xdr:cNvSpPr>
      </xdr:nvSpPr>
      <xdr:spPr bwMode="auto">
        <a:xfrm>
          <a:off x="76609575" y="2571750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0</xdr:colOff>
      <xdr:row>10</xdr:row>
      <xdr:rowOff>0</xdr:rowOff>
    </xdr:from>
    <xdr:to>
      <xdr:col>105</xdr:col>
      <xdr:colOff>19050</xdr:colOff>
      <xdr:row>10</xdr:row>
      <xdr:rowOff>142875</xdr:rowOff>
    </xdr:to>
    <xdr:sp macro="" textlink="">
      <xdr:nvSpPr>
        <xdr:cNvPr id="316545" name="Rectangle 28"/>
        <xdr:cNvSpPr>
          <a:spLocks noChangeArrowheads="1"/>
        </xdr:cNvSpPr>
      </xdr:nvSpPr>
      <xdr:spPr bwMode="auto">
        <a:xfrm>
          <a:off x="76609575" y="2571750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0</xdr:colOff>
      <xdr:row>10</xdr:row>
      <xdr:rowOff>0</xdr:rowOff>
    </xdr:from>
    <xdr:to>
      <xdr:col>105</xdr:col>
      <xdr:colOff>19050</xdr:colOff>
      <xdr:row>10</xdr:row>
      <xdr:rowOff>142875</xdr:rowOff>
    </xdr:to>
    <xdr:sp macro="" textlink="">
      <xdr:nvSpPr>
        <xdr:cNvPr id="316546" name="Rectangle 27"/>
        <xdr:cNvSpPr>
          <a:spLocks noChangeArrowheads="1"/>
        </xdr:cNvSpPr>
      </xdr:nvSpPr>
      <xdr:spPr bwMode="auto">
        <a:xfrm>
          <a:off x="76609575" y="2571750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0</xdr:colOff>
      <xdr:row>10</xdr:row>
      <xdr:rowOff>0</xdr:rowOff>
    </xdr:from>
    <xdr:to>
      <xdr:col>105</xdr:col>
      <xdr:colOff>19050</xdr:colOff>
      <xdr:row>10</xdr:row>
      <xdr:rowOff>142875</xdr:rowOff>
    </xdr:to>
    <xdr:sp macro="" textlink="">
      <xdr:nvSpPr>
        <xdr:cNvPr id="316547" name="Rectangle 27"/>
        <xdr:cNvSpPr>
          <a:spLocks noChangeArrowheads="1"/>
        </xdr:cNvSpPr>
      </xdr:nvSpPr>
      <xdr:spPr bwMode="auto">
        <a:xfrm>
          <a:off x="76609575" y="2571750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0</xdr:colOff>
      <xdr:row>10</xdr:row>
      <xdr:rowOff>0</xdr:rowOff>
    </xdr:from>
    <xdr:to>
      <xdr:col>105</xdr:col>
      <xdr:colOff>19050</xdr:colOff>
      <xdr:row>10</xdr:row>
      <xdr:rowOff>142875</xdr:rowOff>
    </xdr:to>
    <xdr:sp macro="" textlink="">
      <xdr:nvSpPr>
        <xdr:cNvPr id="316548" name="Rectangle 28"/>
        <xdr:cNvSpPr>
          <a:spLocks noChangeArrowheads="1"/>
        </xdr:cNvSpPr>
      </xdr:nvSpPr>
      <xdr:spPr bwMode="auto">
        <a:xfrm>
          <a:off x="76609575" y="2571750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0</xdr:colOff>
      <xdr:row>10</xdr:row>
      <xdr:rowOff>0</xdr:rowOff>
    </xdr:from>
    <xdr:to>
      <xdr:col>105</xdr:col>
      <xdr:colOff>19050</xdr:colOff>
      <xdr:row>10</xdr:row>
      <xdr:rowOff>142875</xdr:rowOff>
    </xdr:to>
    <xdr:sp macro="" textlink="">
      <xdr:nvSpPr>
        <xdr:cNvPr id="316549" name="Rectangle 28"/>
        <xdr:cNvSpPr>
          <a:spLocks noChangeArrowheads="1"/>
        </xdr:cNvSpPr>
      </xdr:nvSpPr>
      <xdr:spPr bwMode="auto">
        <a:xfrm>
          <a:off x="76609575" y="2571750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0</xdr:colOff>
      <xdr:row>10</xdr:row>
      <xdr:rowOff>0</xdr:rowOff>
    </xdr:from>
    <xdr:to>
      <xdr:col>105</xdr:col>
      <xdr:colOff>19050</xdr:colOff>
      <xdr:row>10</xdr:row>
      <xdr:rowOff>142875</xdr:rowOff>
    </xdr:to>
    <xdr:sp macro="" textlink="">
      <xdr:nvSpPr>
        <xdr:cNvPr id="316550" name="Rectangle 28"/>
        <xdr:cNvSpPr>
          <a:spLocks noChangeArrowheads="1"/>
        </xdr:cNvSpPr>
      </xdr:nvSpPr>
      <xdr:spPr bwMode="auto">
        <a:xfrm>
          <a:off x="76609575" y="2571750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0</xdr:colOff>
      <xdr:row>10</xdr:row>
      <xdr:rowOff>0</xdr:rowOff>
    </xdr:from>
    <xdr:to>
      <xdr:col>105</xdr:col>
      <xdr:colOff>19050</xdr:colOff>
      <xdr:row>10</xdr:row>
      <xdr:rowOff>142875</xdr:rowOff>
    </xdr:to>
    <xdr:sp macro="" textlink="">
      <xdr:nvSpPr>
        <xdr:cNvPr id="316551" name="Rectangle 27"/>
        <xdr:cNvSpPr>
          <a:spLocks noChangeArrowheads="1"/>
        </xdr:cNvSpPr>
      </xdr:nvSpPr>
      <xdr:spPr bwMode="auto">
        <a:xfrm>
          <a:off x="76609575" y="2571750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0</xdr:colOff>
      <xdr:row>10</xdr:row>
      <xdr:rowOff>0</xdr:rowOff>
    </xdr:from>
    <xdr:to>
      <xdr:col>105</xdr:col>
      <xdr:colOff>19050</xdr:colOff>
      <xdr:row>10</xdr:row>
      <xdr:rowOff>142875</xdr:rowOff>
    </xdr:to>
    <xdr:sp macro="" textlink="">
      <xdr:nvSpPr>
        <xdr:cNvPr id="316552" name="Rectangle 27"/>
        <xdr:cNvSpPr>
          <a:spLocks noChangeArrowheads="1"/>
        </xdr:cNvSpPr>
      </xdr:nvSpPr>
      <xdr:spPr bwMode="auto">
        <a:xfrm>
          <a:off x="76609575" y="2571750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0</xdr:colOff>
      <xdr:row>10</xdr:row>
      <xdr:rowOff>0</xdr:rowOff>
    </xdr:from>
    <xdr:to>
      <xdr:col>105</xdr:col>
      <xdr:colOff>19050</xdr:colOff>
      <xdr:row>10</xdr:row>
      <xdr:rowOff>142875</xdr:rowOff>
    </xdr:to>
    <xdr:sp macro="" textlink="">
      <xdr:nvSpPr>
        <xdr:cNvPr id="316553" name="Rectangle 28"/>
        <xdr:cNvSpPr>
          <a:spLocks noChangeArrowheads="1"/>
        </xdr:cNvSpPr>
      </xdr:nvSpPr>
      <xdr:spPr bwMode="auto">
        <a:xfrm>
          <a:off x="76609575" y="2571750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0</xdr:colOff>
      <xdr:row>10</xdr:row>
      <xdr:rowOff>0</xdr:rowOff>
    </xdr:from>
    <xdr:to>
      <xdr:col>105</xdr:col>
      <xdr:colOff>19050</xdr:colOff>
      <xdr:row>10</xdr:row>
      <xdr:rowOff>142875</xdr:rowOff>
    </xdr:to>
    <xdr:sp macro="" textlink="">
      <xdr:nvSpPr>
        <xdr:cNvPr id="316554" name="Rectangle 28"/>
        <xdr:cNvSpPr>
          <a:spLocks noChangeArrowheads="1"/>
        </xdr:cNvSpPr>
      </xdr:nvSpPr>
      <xdr:spPr bwMode="auto">
        <a:xfrm>
          <a:off x="76609575" y="2571750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0</xdr:colOff>
      <xdr:row>10</xdr:row>
      <xdr:rowOff>0</xdr:rowOff>
    </xdr:from>
    <xdr:to>
      <xdr:col>105</xdr:col>
      <xdr:colOff>19050</xdr:colOff>
      <xdr:row>10</xdr:row>
      <xdr:rowOff>142875</xdr:rowOff>
    </xdr:to>
    <xdr:sp macro="" textlink="">
      <xdr:nvSpPr>
        <xdr:cNvPr id="316555" name="Rectangle 28"/>
        <xdr:cNvSpPr>
          <a:spLocks noChangeArrowheads="1"/>
        </xdr:cNvSpPr>
      </xdr:nvSpPr>
      <xdr:spPr bwMode="auto">
        <a:xfrm>
          <a:off x="76609575" y="2571750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0</xdr:colOff>
      <xdr:row>10</xdr:row>
      <xdr:rowOff>0</xdr:rowOff>
    </xdr:from>
    <xdr:to>
      <xdr:col>105</xdr:col>
      <xdr:colOff>19050</xdr:colOff>
      <xdr:row>10</xdr:row>
      <xdr:rowOff>142875</xdr:rowOff>
    </xdr:to>
    <xdr:sp macro="" textlink="">
      <xdr:nvSpPr>
        <xdr:cNvPr id="316556" name="Rectangle 28"/>
        <xdr:cNvSpPr>
          <a:spLocks noChangeArrowheads="1"/>
        </xdr:cNvSpPr>
      </xdr:nvSpPr>
      <xdr:spPr bwMode="auto">
        <a:xfrm>
          <a:off x="76609575" y="2571750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0</xdr:colOff>
      <xdr:row>10</xdr:row>
      <xdr:rowOff>0</xdr:rowOff>
    </xdr:from>
    <xdr:to>
      <xdr:col>105</xdr:col>
      <xdr:colOff>19050</xdr:colOff>
      <xdr:row>10</xdr:row>
      <xdr:rowOff>142875</xdr:rowOff>
    </xdr:to>
    <xdr:sp macro="" textlink="">
      <xdr:nvSpPr>
        <xdr:cNvPr id="316557" name="Rectangle 28"/>
        <xdr:cNvSpPr>
          <a:spLocks noChangeArrowheads="1"/>
        </xdr:cNvSpPr>
      </xdr:nvSpPr>
      <xdr:spPr bwMode="auto">
        <a:xfrm>
          <a:off x="76609575" y="2571750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0</xdr:colOff>
      <xdr:row>10</xdr:row>
      <xdr:rowOff>0</xdr:rowOff>
    </xdr:from>
    <xdr:to>
      <xdr:col>105</xdr:col>
      <xdr:colOff>19050</xdr:colOff>
      <xdr:row>10</xdr:row>
      <xdr:rowOff>142875</xdr:rowOff>
    </xdr:to>
    <xdr:sp macro="" textlink="">
      <xdr:nvSpPr>
        <xdr:cNvPr id="316558" name="Rectangle 27"/>
        <xdr:cNvSpPr>
          <a:spLocks noChangeArrowheads="1"/>
        </xdr:cNvSpPr>
      </xdr:nvSpPr>
      <xdr:spPr bwMode="auto">
        <a:xfrm>
          <a:off x="76609575" y="2571750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0</xdr:colOff>
      <xdr:row>10</xdr:row>
      <xdr:rowOff>0</xdr:rowOff>
    </xdr:from>
    <xdr:to>
      <xdr:col>105</xdr:col>
      <xdr:colOff>19050</xdr:colOff>
      <xdr:row>10</xdr:row>
      <xdr:rowOff>142875</xdr:rowOff>
    </xdr:to>
    <xdr:sp macro="" textlink="">
      <xdr:nvSpPr>
        <xdr:cNvPr id="316559" name="Rectangle 28"/>
        <xdr:cNvSpPr>
          <a:spLocks noChangeArrowheads="1"/>
        </xdr:cNvSpPr>
      </xdr:nvSpPr>
      <xdr:spPr bwMode="auto">
        <a:xfrm>
          <a:off x="76609575" y="2571750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0</xdr:colOff>
      <xdr:row>10</xdr:row>
      <xdr:rowOff>0</xdr:rowOff>
    </xdr:from>
    <xdr:to>
      <xdr:col>105</xdr:col>
      <xdr:colOff>19050</xdr:colOff>
      <xdr:row>10</xdr:row>
      <xdr:rowOff>142875</xdr:rowOff>
    </xdr:to>
    <xdr:sp macro="" textlink="">
      <xdr:nvSpPr>
        <xdr:cNvPr id="316560" name="Rectangle 27"/>
        <xdr:cNvSpPr>
          <a:spLocks noChangeArrowheads="1"/>
        </xdr:cNvSpPr>
      </xdr:nvSpPr>
      <xdr:spPr bwMode="auto">
        <a:xfrm>
          <a:off x="76609575" y="2571750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0</xdr:colOff>
      <xdr:row>10</xdr:row>
      <xdr:rowOff>0</xdr:rowOff>
    </xdr:from>
    <xdr:to>
      <xdr:col>105</xdr:col>
      <xdr:colOff>19050</xdr:colOff>
      <xdr:row>10</xdr:row>
      <xdr:rowOff>142875</xdr:rowOff>
    </xdr:to>
    <xdr:sp macro="" textlink="">
      <xdr:nvSpPr>
        <xdr:cNvPr id="316561" name="Rectangle 28"/>
        <xdr:cNvSpPr>
          <a:spLocks noChangeArrowheads="1"/>
        </xdr:cNvSpPr>
      </xdr:nvSpPr>
      <xdr:spPr bwMode="auto">
        <a:xfrm>
          <a:off x="76609575" y="2571750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0</xdr:colOff>
      <xdr:row>10</xdr:row>
      <xdr:rowOff>0</xdr:rowOff>
    </xdr:from>
    <xdr:to>
      <xdr:col>105</xdr:col>
      <xdr:colOff>19050</xdr:colOff>
      <xdr:row>10</xdr:row>
      <xdr:rowOff>142875</xdr:rowOff>
    </xdr:to>
    <xdr:sp macro="" textlink="">
      <xdr:nvSpPr>
        <xdr:cNvPr id="316562" name="Rectangle 28"/>
        <xdr:cNvSpPr>
          <a:spLocks noChangeArrowheads="1"/>
        </xdr:cNvSpPr>
      </xdr:nvSpPr>
      <xdr:spPr bwMode="auto">
        <a:xfrm>
          <a:off x="76609575" y="2571750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0</xdr:colOff>
      <xdr:row>10</xdr:row>
      <xdr:rowOff>0</xdr:rowOff>
    </xdr:from>
    <xdr:to>
      <xdr:col>105</xdr:col>
      <xdr:colOff>19050</xdr:colOff>
      <xdr:row>10</xdr:row>
      <xdr:rowOff>142875</xdr:rowOff>
    </xdr:to>
    <xdr:sp macro="" textlink="">
      <xdr:nvSpPr>
        <xdr:cNvPr id="316563" name="Rectangle 28"/>
        <xdr:cNvSpPr>
          <a:spLocks noChangeArrowheads="1"/>
        </xdr:cNvSpPr>
      </xdr:nvSpPr>
      <xdr:spPr bwMode="auto">
        <a:xfrm>
          <a:off x="76609575" y="2571750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0</xdr:colOff>
      <xdr:row>10</xdr:row>
      <xdr:rowOff>0</xdr:rowOff>
    </xdr:from>
    <xdr:to>
      <xdr:col>105</xdr:col>
      <xdr:colOff>19050</xdr:colOff>
      <xdr:row>10</xdr:row>
      <xdr:rowOff>142875</xdr:rowOff>
    </xdr:to>
    <xdr:sp macro="" textlink="">
      <xdr:nvSpPr>
        <xdr:cNvPr id="316564" name="Rectangle 28"/>
        <xdr:cNvSpPr>
          <a:spLocks noChangeArrowheads="1"/>
        </xdr:cNvSpPr>
      </xdr:nvSpPr>
      <xdr:spPr bwMode="auto">
        <a:xfrm>
          <a:off x="76609575" y="2571750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0</xdr:colOff>
      <xdr:row>10</xdr:row>
      <xdr:rowOff>0</xdr:rowOff>
    </xdr:from>
    <xdr:to>
      <xdr:col>105</xdr:col>
      <xdr:colOff>19050</xdr:colOff>
      <xdr:row>10</xdr:row>
      <xdr:rowOff>142875</xdr:rowOff>
    </xdr:to>
    <xdr:sp macro="" textlink="">
      <xdr:nvSpPr>
        <xdr:cNvPr id="316565" name="Rectangle 27"/>
        <xdr:cNvSpPr>
          <a:spLocks noChangeArrowheads="1"/>
        </xdr:cNvSpPr>
      </xdr:nvSpPr>
      <xdr:spPr bwMode="auto">
        <a:xfrm>
          <a:off x="76609575" y="2571750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0</xdr:colOff>
      <xdr:row>10</xdr:row>
      <xdr:rowOff>0</xdr:rowOff>
    </xdr:from>
    <xdr:to>
      <xdr:col>105</xdr:col>
      <xdr:colOff>19050</xdr:colOff>
      <xdr:row>10</xdr:row>
      <xdr:rowOff>142875</xdr:rowOff>
    </xdr:to>
    <xdr:sp macro="" textlink="">
      <xdr:nvSpPr>
        <xdr:cNvPr id="316566" name="Rectangle 27"/>
        <xdr:cNvSpPr>
          <a:spLocks noChangeArrowheads="1"/>
        </xdr:cNvSpPr>
      </xdr:nvSpPr>
      <xdr:spPr bwMode="auto">
        <a:xfrm>
          <a:off x="76609575" y="2571750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0</xdr:colOff>
      <xdr:row>10</xdr:row>
      <xdr:rowOff>0</xdr:rowOff>
    </xdr:from>
    <xdr:to>
      <xdr:col>105</xdr:col>
      <xdr:colOff>19050</xdr:colOff>
      <xdr:row>10</xdr:row>
      <xdr:rowOff>142875</xdr:rowOff>
    </xdr:to>
    <xdr:sp macro="" textlink="">
      <xdr:nvSpPr>
        <xdr:cNvPr id="316567" name="Rectangle 28"/>
        <xdr:cNvSpPr>
          <a:spLocks noChangeArrowheads="1"/>
        </xdr:cNvSpPr>
      </xdr:nvSpPr>
      <xdr:spPr bwMode="auto">
        <a:xfrm>
          <a:off x="76609575" y="2571750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0</xdr:colOff>
      <xdr:row>10</xdr:row>
      <xdr:rowOff>0</xdr:rowOff>
    </xdr:from>
    <xdr:to>
      <xdr:col>105</xdr:col>
      <xdr:colOff>19050</xdr:colOff>
      <xdr:row>10</xdr:row>
      <xdr:rowOff>142875</xdr:rowOff>
    </xdr:to>
    <xdr:sp macro="" textlink="">
      <xdr:nvSpPr>
        <xdr:cNvPr id="316568" name="Rectangle 28"/>
        <xdr:cNvSpPr>
          <a:spLocks noChangeArrowheads="1"/>
        </xdr:cNvSpPr>
      </xdr:nvSpPr>
      <xdr:spPr bwMode="auto">
        <a:xfrm>
          <a:off x="76609575" y="2571750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0</xdr:colOff>
      <xdr:row>10</xdr:row>
      <xdr:rowOff>0</xdr:rowOff>
    </xdr:from>
    <xdr:to>
      <xdr:col>105</xdr:col>
      <xdr:colOff>19050</xdr:colOff>
      <xdr:row>10</xdr:row>
      <xdr:rowOff>142875</xdr:rowOff>
    </xdr:to>
    <xdr:sp macro="" textlink="">
      <xdr:nvSpPr>
        <xdr:cNvPr id="316569" name="Rectangle 28"/>
        <xdr:cNvSpPr>
          <a:spLocks noChangeArrowheads="1"/>
        </xdr:cNvSpPr>
      </xdr:nvSpPr>
      <xdr:spPr bwMode="auto">
        <a:xfrm>
          <a:off x="76609575" y="2571750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0</xdr:colOff>
      <xdr:row>10</xdr:row>
      <xdr:rowOff>0</xdr:rowOff>
    </xdr:from>
    <xdr:to>
      <xdr:col>105</xdr:col>
      <xdr:colOff>19050</xdr:colOff>
      <xdr:row>10</xdr:row>
      <xdr:rowOff>142875</xdr:rowOff>
    </xdr:to>
    <xdr:sp macro="" textlink="">
      <xdr:nvSpPr>
        <xdr:cNvPr id="316570" name="Rectangle 27"/>
        <xdr:cNvSpPr>
          <a:spLocks noChangeArrowheads="1"/>
        </xdr:cNvSpPr>
      </xdr:nvSpPr>
      <xdr:spPr bwMode="auto">
        <a:xfrm>
          <a:off x="76609575" y="2571750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0</xdr:colOff>
      <xdr:row>10</xdr:row>
      <xdr:rowOff>0</xdr:rowOff>
    </xdr:from>
    <xdr:to>
      <xdr:col>105</xdr:col>
      <xdr:colOff>19050</xdr:colOff>
      <xdr:row>10</xdr:row>
      <xdr:rowOff>142875</xdr:rowOff>
    </xdr:to>
    <xdr:sp macro="" textlink="">
      <xdr:nvSpPr>
        <xdr:cNvPr id="316571" name="Rectangle 27"/>
        <xdr:cNvSpPr>
          <a:spLocks noChangeArrowheads="1"/>
        </xdr:cNvSpPr>
      </xdr:nvSpPr>
      <xdr:spPr bwMode="auto">
        <a:xfrm>
          <a:off x="76609575" y="2571750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0</xdr:colOff>
      <xdr:row>10</xdr:row>
      <xdr:rowOff>0</xdr:rowOff>
    </xdr:from>
    <xdr:to>
      <xdr:col>105</xdr:col>
      <xdr:colOff>19050</xdr:colOff>
      <xdr:row>10</xdr:row>
      <xdr:rowOff>142875</xdr:rowOff>
    </xdr:to>
    <xdr:sp macro="" textlink="">
      <xdr:nvSpPr>
        <xdr:cNvPr id="316572" name="Rectangle 28"/>
        <xdr:cNvSpPr>
          <a:spLocks noChangeArrowheads="1"/>
        </xdr:cNvSpPr>
      </xdr:nvSpPr>
      <xdr:spPr bwMode="auto">
        <a:xfrm>
          <a:off x="76609575" y="2571750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0</xdr:colOff>
      <xdr:row>10</xdr:row>
      <xdr:rowOff>0</xdr:rowOff>
    </xdr:from>
    <xdr:to>
      <xdr:col>105</xdr:col>
      <xdr:colOff>19050</xdr:colOff>
      <xdr:row>10</xdr:row>
      <xdr:rowOff>142875</xdr:rowOff>
    </xdr:to>
    <xdr:sp macro="" textlink="">
      <xdr:nvSpPr>
        <xdr:cNvPr id="316573" name="Rectangle 28"/>
        <xdr:cNvSpPr>
          <a:spLocks noChangeArrowheads="1"/>
        </xdr:cNvSpPr>
      </xdr:nvSpPr>
      <xdr:spPr bwMode="auto">
        <a:xfrm>
          <a:off x="76609575" y="2571750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0</xdr:colOff>
      <xdr:row>3</xdr:row>
      <xdr:rowOff>0</xdr:rowOff>
    </xdr:from>
    <xdr:to>
      <xdr:col>105</xdr:col>
      <xdr:colOff>190500</xdr:colOff>
      <xdr:row>7</xdr:row>
      <xdr:rowOff>123825</xdr:rowOff>
    </xdr:to>
    <xdr:sp macro="" textlink="">
      <xdr:nvSpPr>
        <xdr:cNvPr id="316574" name="Obdélník 1381"/>
        <xdr:cNvSpPr>
          <a:spLocks noChangeArrowheads="1"/>
        </xdr:cNvSpPr>
      </xdr:nvSpPr>
      <xdr:spPr bwMode="auto">
        <a:xfrm>
          <a:off x="76609575" y="1171575"/>
          <a:ext cx="190500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0</xdr:colOff>
      <xdr:row>10</xdr:row>
      <xdr:rowOff>0</xdr:rowOff>
    </xdr:from>
    <xdr:to>
      <xdr:col>105</xdr:col>
      <xdr:colOff>19050</xdr:colOff>
      <xdr:row>10</xdr:row>
      <xdr:rowOff>142875</xdr:rowOff>
    </xdr:to>
    <xdr:sp macro="" textlink="">
      <xdr:nvSpPr>
        <xdr:cNvPr id="316575" name="Rectangle 28"/>
        <xdr:cNvSpPr>
          <a:spLocks noChangeArrowheads="1"/>
        </xdr:cNvSpPr>
      </xdr:nvSpPr>
      <xdr:spPr bwMode="auto">
        <a:xfrm>
          <a:off x="76609575" y="2571750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0</xdr:colOff>
      <xdr:row>10</xdr:row>
      <xdr:rowOff>0</xdr:rowOff>
    </xdr:from>
    <xdr:to>
      <xdr:col>105</xdr:col>
      <xdr:colOff>19050</xdr:colOff>
      <xdr:row>10</xdr:row>
      <xdr:rowOff>142875</xdr:rowOff>
    </xdr:to>
    <xdr:sp macro="" textlink="">
      <xdr:nvSpPr>
        <xdr:cNvPr id="316576" name="Rectangle 28"/>
        <xdr:cNvSpPr>
          <a:spLocks noChangeArrowheads="1"/>
        </xdr:cNvSpPr>
      </xdr:nvSpPr>
      <xdr:spPr bwMode="auto">
        <a:xfrm>
          <a:off x="76609575" y="2571750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0</xdr:colOff>
      <xdr:row>10</xdr:row>
      <xdr:rowOff>0</xdr:rowOff>
    </xdr:from>
    <xdr:to>
      <xdr:col>105</xdr:col>
      <xdr:colOff>19050</xdr:colOff>
      <xdr:row>10</xdr:row>
      <xdr:rowOff>142875</xdr:rowOff>
    </xdr:to>
    <xdr:sp macro="" textlink="">
      <xdr:nvSpPr>
        <xdr:cNvPr id="316577" name="Rectangle 28"/>
        <xdr:cNvSpPr>
          <a:spLocks noChangeArrowheads="1"/>
        </xdr:cNvSpPr>
      </xdr:nvSpPr>
      <xdr:spPr bwMode="auto">
        <a:xfrm>
          <a:off x="76609575" y="2571750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0</xdr:colOff>
      <xdr:row>10</xdr:row>
      <xdr:rowOff>0</xdr:rowOff>
    </xdr:from>
    <xdr:to>
      <xdr:col>105</xdr:col>
      <xdr:colOff>19050</xdr:colOff>
      <xdr:row>10</xdr:row>
      <xdr:rowOff>142875</xdr:rowOff>
    </xdr:to>
    <xdr:sp macro="" textlink="">
      <xdr:nvSpPr>
        <xdr:cNvPr id="316578" name="Rectangle 27"/>
        <xdr:cNvSpPr>
          <a:spLocks noChangeArrowheads="1"/>
        </xdr:cNvSpPr>
      </xdr:nvSpPr>
      <xdr:spPr bwMode="auto">
        <a:xfrm>
          <a:off x="76609575" y="2571750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0</xdr:colOff>
      <xdr:row>10</xdr:row>
      <xdr:rowOff>0</xdr:rowOff>
    </xdr:from>
    <xdr:to>
      <xdr:col>105</xdr:col>
      <xdr:colOff>19050</xdr:colOff>
      <xdr:row>10</xdr:row>
      <xdr:rowOff>142875</xdr:rowOff>
    </xdr:to>
    <xdr:sp macro="" textlink="">
      <xdr:nvSpPr>
        <xdr:cNvPr id="316579" name="Rectangle 28"/>
        <xdr:cNvSpPr>
          <a:spLocks noChangeArrowheads="1"/>
        </xdr:cNvSpPr>
      </xdr:nvSpPr>
      <xdr:spPr bwMode="auto">
        <a:xfrm>
          <a:off x="76609575" y="2571750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0</xdr:colOff>
      <xdr:row>10</xdr:row>
      <xdr:rowOff>0</xdr:rowOff>
    </xdr:from>
    <xdr:to>
      <xdr:col>105</xdr:col>
      <xdr:colOff>19050</xdr:colOff>
      <xdr:row>10</xdr:row>
      <xdr:rowOff>142875</xdr:rowOff>
    </xdr:to>
    <xdr:sp macro="" textlink="">
      <xdr:nvSpPr>
        <xdr:cNvPr id="316580" name="Rectangle 27"/>
        <xdr:cNvSpPr>
          <a:spLocks noChangeArrowheads="1"/>
        </xdr:cNvSpPr>
      </xdr:nvSpPr>
      <xdr:spPr bwMode="auto">
        <a:xfrm>
          <a:off x="76609575" y="2571750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0</xdr:colOff>
      <xdr:row>10</xdr:row>
      <xdr:rowOff>0</xdr:rowOff>
    </xdr:from>
    <xdr:to>
      <xdr:col>105</xdr:col>
      <xdr:colOff>19050</xdr:colOff>
      <xdr:row>10</xdr:row>
      <xdr:rowOff>142875</xdr:rowOff>
    </xdr:to>
    <xdr:sp macro="" textlink="">
      <xdr:nvSpPr>
        <xdr:cNvPr id="316581" name="Rectangle 28"/>
        <xdr:cNvSpPr>
          <a:spLocks noChangeArrowheads="1"/>
        </xdr:cNvSpPr>
      </xdr:nvSpPr>
      <xdr:spPr bwMode="auto">
        <a:xfrm>
          <a:off x="76609575" y="2571750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0</xdr:colOff>
      <xdr:row>10</xdr:row>
      <xdr:rowOff>0</xdr:rowOff>
    </xdr:from>
    <xdr:to>
      <xdr:col>105</xdr:col>
      <xdr:colOff>19050</xdr:colOff>
      <xdr:row>10</xdr:row>
      <xdr:rowOff>142875</xdr:rowOff>
    </xdr:to>
    <xdr:sp macro="" textlink="">
      <xdr:nvSpPr>
        <xdr:cNvPr id="316582" name="Rectangle 28"/>
        <xdr:cNvSpPr>
          <a:spLocks noChangeArrowheads="1"/>
        </xdr:cNvSpPr>
      </xdr:nvSpPr>
      <xdr:spPr bwMode="auto">
        <a:xfrm>
          <a:off x="76609575" y="2571750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0</xdr:colOff>
      <xdr:row>10</xdr:row>
      <xdr:rowOff>0</xdr:rowOff>
    </xdr:from>
    <xdr:to>
      <xdr:col>105</xdr:col>
      <xdr:colOff>19050</xdr:colOff>
      <xdr:row>10</xdr:row>
      <xdr:rowOff>142875</xdr:rowOff>
    </xdr:to>
    <xdr:sp macro="" textlink="">
      <xdr:nvSpPr>
        <xdr:cNvPr id="316583" name="Rectangle 28"/>
        <xdr:cNvSpPr>
          <a:spLocks noChangeArrowheads="1"/>
        </xdr:cNvSpPr>
      </xdr:nvSpPr>
      <xdr:spPr bwMode="auto">
        <a:xfrm>
          <a:off x="76609575" y="2571750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0</xdr:colOff>
      <xdr:row>10</xdr:row>
      <xdr:rowOff>0</xdr:rowOff>
    </xdr:from>
    <xdr:to>
      <xdr:col>105</xdr:col>
      <xdr:colOff>19050</xdr:colOff>
      <xdr:row>10</xdr:row>
      <xdr:rowOff>142875</xdr:rowOff>
    </xdr:to>
    <xdr:sp macro="" textlink="">
      <xdr:nvSpPr>
        <xdr:cNvPr id="316584" name="Rectangle 28"/>
        <xdr:cNvSpPr>
          <a:spLocks noChangeArrowheads="1"/>
        </xdr:cNvSpPr>
      </xdr:nvSpPr>
      <xdr:spPr bwMode="auto">
        <a:xfrm>
          <a:off x="76609575" y="2571750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0</xdr:colOff>
      <xdr:row>10</xdr:row>
      <xdr:rowOff>0</xdr:rowOff>
    </xdr:from>
    <xdr:to>
      <xdr:col>105</xdr:col>
      <xdr:colOff>19050</xdr:colOff>
      <xdr:row>10</xdr:row>
      <xdr:rowOff>142875</xdr:rowOff>
    </xdr:to>
    <xdr:sp macro="" textlink="">
      <xdr:nvSpPr>
        <xdr:cNvPr id="316585" name="Rectangle 27"/>
        <xdr:cNvSpPr>
          <a:spLocks noChangeArrowheads="1"/>
        </xdr:cNvSpPr>
      </xdr:nvSpPr>
      <xdr:spPr bwMode="auto">
        <a:xfrm>
          <a:off x="76609575" y="2571750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0</xdr:colOff>
      <xdr:row>10</xdr:row>
      <xdr:rowOff>0</xdr:rowOff>
    </xdr:from>
    <xdr:to>
      <xdr:col>105</xdr:col>
      <xdr:colOff>19050</xdr:colOff>
      <xdr:row>10</xdr:row>
      <xdr:rowOff>142875</xdr:rowOff>
    </xdr:to>
    <xdr:sp macro="" textlink="">
      <xdr:nvSpPr>
        <xdr:cNvPr id="316586" name="Rectangle 27"/>
        <xdr:cNvSpPr>
          <a:spLocks noChangeArrowheads="1"/>
        </xdr:cNvSpPr>
      </xdr:nvSpPr>
      <xdr:spPr bwMode="auto">
        <a:xfrm>
          <a:off x="76609575" y="2571750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0</xdr:colOff>
      <xdr:row>10</xdr:row>
      <xdr:rowOff>0</xdr:rowOff>
    </xdr:from>
    <xdr:to>
      <xdr:col>105</xdr:col>
      <xdr:colOff>19050</xdr:colOff>
      <xdr:row>10</xdr:row>
      <xdr:rowOff>142875</xdr:rowOff>
    </xdr:to>
    <xdr:sp macro="" textlink="">
      <xdr:nvSpPr>
        <xdr:cNvPr id="316587" name="Rectangle 28"/>
        <xdr:cNvSpPr>
          <a:spLocks noChangeArrowheads="1"/>
        </xdr:cNvSpPr>
      </xdr:nvSpPr>
      <xdr:spPr bwMode="auto">
        <a:xfrm>
          <a:off x="76609575" y="2571750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0</xdr:colOff>
      <xdr:row>10</xdr:row>
      <xdr:rowOff>0</xdr:rowOff>
    </xdr:from>
    <xdr:to>
      <xdr:col>105</xdr:col>
      <xdr:colOff>19050</xdr:colOff>
      <xdr:row>10</xdr:row>
      <xdr:rowOff>142875</xdr:rowOff>
    </xdr:to>
    <xdr:sp macro="" textlink="">
      <xdr:nvSpPr>
        <xdr:cNvPr id="316588" name="Rectangle 28"/>
        <xdr:cNvSpPr>
          <a:spLocks noChangeArrowheads="1"/>
        </xdr:cNvSpPr>
      </xdr:nvSpPr>
      <xdr:spPr bwMode="auto">
        <a:xfrm>
          <a:off x="76609575" y="2571750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0</xdr:colOff>
      <xdr:row>10</xdr:row>
      <xdr:rowOff>0</xdr:rowOff>
    </xdr:from>
    <xdr:to>
      <xdr:col>105</xdr:col>
      <xdr:colOff>19050</xdr:colOff>
      <xdr:row>10</xdr:row>
      <xdr:rowOff>142875</xdr:rowOff>
    </xdr:to>
    <xdr:sp macro="" textlink="">
      <xdr:nvSpPr>
        <xdr:cNvPr id="316589" name="Rectangle 28"/>
        <xdr:cNvSpPr>
          <a:spLocks noChangeArrowheads="1"/>
        </xdr:cNvSpPr>
      </xdr:nvSpPr>
      <xdr:spPr bwMode="auto">
        <a:xfrm>
          <a:off x="76609575" y="2571750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0</xdr:colOff>
      <xdr:row>10</xdr:row>
      <xdr:rowOff>0</xdr:rowOff>
    </xdr:from>
    <xdr:to>
      <xdr:col>105</xdr:col>
      <xdr:colOff>19050</xdr:colOff>
      <xdr:row>10</xdr:row>
      <xdr:rowOff>142875</xdr:rowOff>
    </xdr:to>
    <xdr:sp macro="" textlink="">
      <xdr:nvSpPr>
        <xdr:cNvPr id="316590" name="Rectangle 27"/>
        <xdr:cNvSpPr>
          <a:spLocks noChangeArrowheads="1"/>
        </xdr:cNvSpPr>
      </xdr:nvSpPr>
      <xdr:spPr bwMode="auto">
        <a:xfrm>
          <a:off x="76609575" y="2571750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0</xdr:colOff>
      <xdr:row>10</xdr:row>
      <xdr:rowOff>0</xdr:rowOff>
    </xdr:from>
    <xdr:to>
      <xdr:col>105</xdr:col>
      <xdr:colOff>19050</xdr:colOff>
      <xdr:row>10</xdr:row>
      <xdr:rowOff>142875</xdr:rowOff>
    </xdr:to>
    <xdr:sp macro="" textlink="">
      <xdr:nvSpPr>
        <xdr:cNvPr id="316591" name="Rectangle 27"/>
        <xdr:cNvSpPr>
          <a:spLocks noChangeArrowheads="1"/>
        </xdr:cNvSpPr>
      </xdr:nvSpPr>
      <xdr:spPr bwMode="auto">
        <a:xfrm>
          <a:off x="76609575" y="2571750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0</xdr:colOff>
      <xdr:row>10</xdr:row>
      <xdr:rowOff>0</xdr:rowOff>
    </xdr:from>
    <xdr:to>
      <xdr:col>105</xdr:col>
      <xdr:colOff>19050</xdr:colOff>
      <xdr:row>10</xdr:row>
      <xdr:rowOff>142875</xdr:rowOff>
    </xdr:to>
    <xdr:sp macro="" textlink="">
      <xdr:nvSpPr>
        <xdr:cNvPr id="316592" name="Rectangle 28"/>
        <xdr:cNvSpPr>
          <a:spLocks noChangeArrowheads="1"/>
        </xdr:cNvSpPr>
      </xdr:nvSpPr>
      <xdr:spPr bwMode="auto">
        <a:xfrm>
          <a:off x="76609575" y="2571750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0</xdr:colOff>
      <xdr:row>10</xdr:row>
      <xdr:rowOff>0</xdr:rowOff>
    </xdr:from>
    <xdr:to>
      <xdr:col>105</xdr:col>
      <xdr:colOff>19050</xdr:colOff>
      <xdr:row>10</xdr:row>
      <xdr:rowOff>142875</xdr:rowOff>
    </xdr:to>
    <xdr:sp macro="" textlink="">
      <xdr:nvSpPr>
        <xdr:cNvPr id="316593" name="Rectangle 28"/>
        <xdr:cNvSpPr>
          <a:spLocks noChangeArrowheads="1"/>
        </xdr:cNvSpPr>
      </xdr:nvSpPr>
      <xdr:spPr bwMode="auto">
        <a:xfrm>
          <a:off x="76609575" y="2571750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0</xdr:colOff>
      <xdr:row>10</xdr:row>
      <xdr:rowOff>0</xdr:rowOff>
    </xdr:from>
    <xdr:to>
      <xdr:col>105</xdr:col>
      <xdr:colOff>19050</xdr:colOff>
      <xdr:row>10</xdr:row>
      <xdr:rowOff>142875</xdr:rowOff>
    </xdr:to>
    <xdr:sp macro="" textlink="">
      <xdr:nvSpPr>
        <xdr:cNvPr id="316594" name="Rectangle 28"/>
        <xdr:cNvSpPr>
          <a:spLocks noChangeArrowheads="1"/>
        </xdr:cNvSpPr>
      </xdr:nvSpPr>
      <xdr:spPr bwMode="auto">
        <a:xfrm>
          <a:off x="76609575" y="2571750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0</xdr:colOff>
      <xdr:row>10</xdr:row>
      <xdr:rowOff>0</xdr:rowOff>
    </xdr:from>
    <xdr:to>
      <xdr:col>105</xdr:col>
      <xdr:colOff>19050</xdr:colOff>
      <xdr:row>10</xdr:row>
      <xdr:rowOff>142875</xdr:rowOff>
    </xdr:to>
    <xdr:sp macro="" textlink="">
      <xdr:nvSpPr>
        <xdr:cNvPr id="316595" name="Rectangle 28"/>
        <xdr:cNvSpPr>
          <a:spLocks noChangeArrowheads="1"/>
        </xdr:cNvSpPr>
      </xdr:nvSpPr>
      <xdr:spPr bwMode="auto">
        <a:xfrm>
          <a:off x="76609575" y="2571750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0</xdr:colOff>
      <xdr:row>10</xdr:row>
      <xdr:rowOff>0</xdr:rowOff>
    </xdr:from>
    <xdr:to>
      <xdr:col>105</xdr:col>
      <xdr:colOff>19050</xdr:colOff>
      <xdr:row>10</xdr:row>
      <xdr:rowOff>142875</xdr:rowOff>
    </xdr:to>
    <xdr:sp macro="" textlink="">
      <xdr:nvSpPr>
        <xdr:cNvPr id="316596" name="Rectangle 28"/>
        <xdr:cNvSpPr>
          <a:spLocks noChangeArrowheads="1"/>
        </xdr:cNvSpPr>
      </xdr:nvSpPr>
      <xdr:spPr bwMode="auto">
        <a:xfrm>
          <a:off x="76609575" y="2571750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0</xdr:colOff>
      <xdr:row>10</xdr:row>
      <xdr:rowOff>0</xdr:rowOff>
    </xdr:from>
    <xdr:to>
      <xdr:col>105</xdr:col>
      <xdr:colOff>19050</xdr:colOff>
      <xdr:row>10</xdr:row>
      <xdr:rowOff>142875</xdr:rowOff>
    </xdr:to>
    <xdr:sp macro="" textlink="">
      <xdr:nvSpPr>
        <xdr:cNvPr id="316597" name="Rectangle 27"/>
        <xdr:cNvSpPr>
          <a:spLocks noChangeArrowheads="1"/>
        </xdr:cNvSpPr>
      </xdr:nvSpPr>
      <xdr:spPr bwMode="auto">
        <a:xfrm>
          <a:off x="76609575" y="2571750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0</xdr:colOff>
      <xdr:row>10</xdr:row>
      <xdr:rowOff>0</xdr:rowOff>
    </xdr:from>
    <xdr:to>
      <xdr:col>105</xdr:col>
      <xdr:colOff>19050</xdr:colOff>
      <xdr:row>10</xdr:row>
      <xdr:rowOff>142875</xdr:rowOff>
    </xdr:to>
    <xdr:sp macro="" textlink="">
      <xdr:nvSpPr>
        <xdr:cNvPr id="316598" name="Rectangle 28"/>
        <xdr:cNvSpPr>
          <a:spLocks noChangeArrowheads="1"/>
        </xdr:cNvSpPr>
      </xdr:nvSpPr>
      <xdr:spPr bwMode="auto">
        <a:xfrm>
          <a:off x="76609575" y="2571750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0</xdr:colOff>
      <xdr:row>10</xdr:row>
      <xdr:rowOff>0</xdr:rowOff>
    </xdr:from>
    <xdr:to>
      <xdr:col>105</xdr:col>
      <xdr:colOff>19050</xdr:colOff>
      <xdr:row>10</xdr:row>
      <xdr:rowOff>142875</xdr:rowOff>
    </xdr:to>
    <xdr:sp macro="" textlink="">
      <xdr:nvSpPr>
        <xdr:cNvPr id="316599" name="Rectangle 27"/>
        <xdr:cNvSpPr>
          <a:spLocks noChangeArrowheads="1"/>
        </xdr:cNvSpPr>
      </xdr:nvSpPr>
      <xdr:spPr bwMode="auto">
        <a:xfrm>
          <a:off x="76609575" y="2571750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0</xdr:colOff>
      <xdr:row>10</xdr:row>
      <xdr:rowOff>0</xdr:rowOff>
    </xdr:from>
    <xdr:to>
      <xdr:col>105</xdr:col>
      <xdr:colOff>19050</xdr:colOff>
      <xdr:row>10</xdr:row>
      <xdr:rowOff>142875</xdr:rowOff>
    </xdr:to>
    <xdr:sp macro="" textlink="">
      <xdr:nvSpPr>
        <xdr:cNvPr id="316600" name="Rectangle 28"/>
        <xdr:cNvSpPr>
          <a:spLocks noChangeArrowheads="1"/>
        </xdr:cNvSpPr>
      </xdr:nvSpPr>
      <xdr:spPr bwMode="auto">
        <a:xfrm>
          <a:off x="76609575" y="2571750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0</xdr:colOff>
      <xdr:row>10</xdr:row>
      <xdr:rowOff>0</xdr:rowOff>
    </xdr:from>
    <xdr:to>
      <xdr:col>105</xdr:col>
      <xdr:colOff>19050</xdr:colOff>
      <xdr:row>10</xdr:row>
      <xdr:rowOff>142875</xdr:rowOff>
    </xdr:to>
    <xdr:sp macro="" textlink="">
      <xdr:nvSpPr>
        <xdr:cNvPr id="316601" name="Rectangle 28"/>
        <xdr:cNvSpPr>
          <a:spLocks noChangeArrowheads="1"/>
        </xdr:cNvSpPr>
      </xdr:nvSpPr>
      <xdr:spPr bwMode="auto">
        <a:xfrm>
          <a:off x="76609575" y="2571750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0</xdr:colOff>
      <xdr:row>10</xdr:row>
      <xdr:rowOff>0</xdr:rowOff>
    </xdr:from>
    <xdr:to>
      <xdr:col>105</xdr:col>
      <xdr:colOff>19050</xdr:colOff>
      <xdr:row>10</xdr:row>
      <xdr:rowOff>142875</xdr:rowOff>
    </xdr:to>
    <xdr:sp macro="" textlink="">
      <xdr:nvSpPr>
        <xdr:cNvPr id="316602" name="Rectangle 28"/>
        <xdr:cNvSpPr>
          <a:spLocks noChangeArrowheads="1"/>
        </xdr:cNvSpPr>
      </xdr:nvSpPr>
      <xdr:spPr bwMode="auto">
        <a:xfrm>
          <a:off x="76609575" y="2571750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0</xdr:colOff>
      <xdr:row>10</xdr:row>
      <xdr:rowOff>0</xdr:rowOff>
    </xdr:from>
    <xdr:to>
      <xdr:col>105</xdr:col>
      <xdr:colOff>19050</xdr:colOff>
      <xdr:row>10</xdr:row>
      <xdr:rowOff>142875</xdr:rowOff>
    </xdr:to>
    <xdr:sp macro="" textlink="">
      <xdr:nvSpPr>
        <xdr:cNvPr id="316603" name="Rectangle 28"/>
        <xdr:cNvSpPr>
          <a:spLocks noChangeArrowheads="1"/>
        </xdr:cNvSpPr>
      </xdr:nvSpPr>
      <xdr:spPr bwMode="auto">
        <a:xfrm>
          <a:off x="76609575" y="2571750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0</xdr:colOff>
      <xdr:row>10</xdr:row>
      <xdr:rowOff>0</xdr:rowOff>
    </xdr:from>
    <xdr:to>
      <xdr:col>105</xdr:col>
      <xdr:colOff>19050</xdr:colOff>
      <xdr:row>10</xdr:row>
      <xdr:rowOff>142875</xdr:rowOff>
    </xdr:to>
    <xdr:sp macro="" textlink="">
      <xdr:nvSpPr>
        <xdr:cNvPr id="316604" name="Rectangle 27"/>
        <xdr:cNvSpPr>
          <a:spLocks noChangeArrowheads="1"/>
        </xdr:cNvSpPr>
      </xdr:nvSpPr>
      <xdr:spPr bwMode="auto">
        <a:xfrm>
          <a:off x="76609575" y="2571750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0</xdr:colOff>
      <xdr:row>10</xdr:row>
      <xdr:rowOff>0</xdr:rowOff>
    </xdr:from>
    <xdr:to>
      <xdr:col>105</xdr:col>
      <xdr:colOff>19050</xdr:colOff>
      <xdr:row>10</xdr:row>
      <xdr:rowOff>142875</xdr:rowOff>
    </xdr:to>
    <xdr:sp macro="" textlink="">
      <xdr:nvSpPr>
        <xdr:cNvPr id="316605" name="Rectangle 27"/>
        <xdr:cNvSpPr>
          <a:spLocks noChangeArrowheads="1"/>
        </xdr:cNvSpPr>
      </xdr:nvSpPr>
      <xdr:spPr bwMode="auto">
        <a:xfrm>
          <a:off x="76609575" y="2571750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0</xdr:colOff>
      <xdr:row>10</xdr:row>
      <xdr:rowOff>0</xdr:rowOff>
    </xdr:from>
    <xdr:to>
      <xdr:col>105</xdr:col>
      <xdr:colOff>19050</xdr:colOff>
      <xdr:row>10</xdr:row>
      <xdr:rowOff>142875</xdr:rowOff>
    </xdr:to>
    <xdr:sp macro="" textlink="">
      <xdr:nvSpPr>
        <xdr:cNvPr id="316606" name="Rectangle 28"/>
        <xdr:cNvSpPr>
          <a:spLocks noChangeArrowheads="1"/>
        </xdr:cNvSpPr>
      </xdr:nvSpPr>
      <xdr:spPr bwMode="auto">
        <a:xfrm>
          <a:off x="76609575" y="2571750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0</xdr:colOff>
      <xdr:row>10</xdr:row>
      <xdr:rowOff>0</xdr:rowOff>
    </xdr:from>
    <xdr:to>
      <xdr:col>105</xdr:col>
      <xdr:colOff>19050</xdr:colOff>
      <xdr:row>10</xdr:row>
      <xdr:rowOff>142875</xdr:rowOff>
    </xdr:to>
    <xdr:sp macro="" textlink="">
      <xdr:nvSpPr>
        <xdr:cNvPr id="316607" name="Rectangle 28"/>
        <xdr:cNvSpPr>
          <a:spLocks noChangeArrowheads="1"/>
        </xdr:cNvSpPr>
      </xdr:nvSpPr>
      <xdr:spPr bwMode="auto">
        <a:xfrm>
          <a:off x="76609575" y="2571750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0</xdr:colOff>
      <xdr:row>10</xdr:row>
      <xdr:rowOff>0</xdr:rowOff>
    </xdr:from>
    <xdr:to>
      <xdr:col>105</xdr:col>
      <xdr:colOff>19050</xdr:colOff>
      <xdr:row>10</xdr:row>
      <xdr:rowOff>142875</xdr:rowOff>
    </xdr:to>
    <xdr:sp macro="" textlink="">
      <xdr:nvSpPr>
        <xdr:cNvPr id="316608" name="Rectangle 28"/>
        <xdr:cNvSpPr>
          <a:spLocks noChangeArrowheads="1"/>
        </xdr:cNvSpPr>
      </xdr:nvSpPr>
      <xdr:spPr bwMode="auto">
        <a:xfrm>
          <a:off x="76609575" y="2571750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0</xdr:colOff>
      <xdr:row>10</xdr:row>
      <xdr:rowOff>0</xdr:rowOff>
    </xdr:from>
    <xdr:to>
      <xdr:col>105</xdr:col>
      <xdr:colOff>19050</xdr:colOff>
      <xdr:row>10</xdr:row>
      <xdr:rowOff>142875</xdr:rowOff>
    </xdr:to>
    <xdr:sp macro="" textlink="">
      <xdr:nvSpPr>
        <xdr:cNvPr id="316609" name="Rectangle 27"/>
        <xdr:cNvSpPr>
          <a:spLocks noChangeArrowheads="1"/>
        </xdr:cNvSpPr>
      </xdr:nvSpPr>
      <xdr:spPr bwMode="auto">
        <a:xfrm>
          <a:off x="76609575" y="2571750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0</xdr:colOff>
      <xdr:row>10</xdr:row>
      <xdr:rowOff>0</xdr:rowOff>
    </xdr:from>
    <xdr:to>
      <xdr:col>105</xdr:col>
      <xdr:colOff>19050</xdr:colOff>
      <xdr:row>10</xdr:row>
      <xdr:rowOff>142875</xdr:rowOff>
    </xdr:to>
    <xdr:sp macro="" textlink="">
      <xdr:nvSpPr>
        <xdr:cNvPr id="316610" name="Rectangle 27"/>
        <xdr:cNvSpPr>
          <a:spLocks noChangeArrowheads="1"/>
        </xdr:cNvSpPr>
      </xdr:nvSpPr>
      <xdr:spPr bwMode="auto">
        <a:xfrm>
          <a:off x="76609575" y="2571750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0</xdr:colOff>
      <xdr:row>10</xdr:row>
      <xdr:rowOff>0</xdr:rowOff>
    </xdr:from>
    <xdr:to>
      <xdr:col>105</xdr:col>
      <xdr:colOff>19050</xdr:colOff>
      <xdr:row>10</xdr:row>
      <xdr:rowOff>142875</xdr:rowOff>
    </xdr:to>
    <xdr:sp macro="" textlink="">
      <xdr:nvSpPr>
        <xdr:cNvPr id="316611" name="Rectangle 28"/>
        <xdr:cNvSpPr>
          <a:spLocks noChangeArrowheads="1"/>
        </xdr:cNvSpPr>
      </xdr:nvSpPr>
      <xdr:spPr bwMode="auto">
        <a:xfrm>
          <a:off x="76609575" y="2571750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0</xdr:colOff>
      <xdr:row>10</xdr:row>
      <xdr:rowOff>0</xdr:rowOff>
    </xdr:from>
    <xdr:to>
      <xdr:col>105</xdr:col>
      <xdr:colOff>19050</xdr:colOff>
      <xdr:row>10</xdr:row>
      <xdr:rowOff>142875</xdr:rowOff>
    </xdr:to>
    <xdr:sp macro="" textlink="">
      <xdr:nvSpPr>
        <xdr:cNvPr id="316612" name="Rectangle 28"/>
        <xdr:cNvSpPr>
          <a:spLocks noChangeArrowheads="1"/>
        </xdr:cNvSpPr>
      </xdr:nvSpPr>
      <xdr:spPr bwMode="auto">
        <a:xfrm>
          <a:off x="76609575" y="2571750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0</xdr:colOff>
      <xdr:row>10</xdr:row>
      <xdr:rowOff>0</xdr:rowOff>
    </xdr:from>
    <xdr:to>
      <xdr:col>105</xdr:col>
      <xdr:colOff>19050</xdr:colOff>
      <xdr:row>10</xdr:row>
      <xdr:rowOff>142875</xdr:rowOff>
    </xdr:to>
    <xdr:sp macro="" textlink="">
      <xdr:nvSpPr>
        <xdr:cNvPr id="316613" name="Rectangle 27"/>
        <xdr:cNvSpPr>
          <a:spLocks noChangeArrowheads="1"/>
        </xdr:cNvSpPr>
      </xdr:nvSpPr>
      <xdr:spPr bwMode="auto">
        <a:xfrm>
          <a:off x="76609575" y="2571750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0</xdr:colOff>
      <xdr:row>10</xdr:row>
      <xdr:rowOff>0</xdr:rowOff>
    </xdr:from>
    <xdr:to>
      <xdr:col>105</xdr:col>
      <xdr:colOff>19050</xdr:colOff>
      <xdr:row>10</xdr:row>
      <xdr:rowOff>142875</xdr:rowOff>
    </xdr:to>
    <xdr:sp macro="" textlink="">
      <xdr:nvSpPr>
        <xdr:cNvPr id="316614" name="Rectangle 28"/>
        <xdr:cNvSpPr>
          <a:spLocks noChangeArrowheads="1"/>
        </xdr:cNvSpPr>
      </xdr:nvSpPr>
      <xdr:spPr bwMode="auto">
        <a:xfrm>
          <a:off x="76609575" y="2571750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0</xdr:colOff>
      <xdr:row>10</xdr:row>
      <xdr:rowOff>0</xdr:rowOff>
    </xdr:from>
    <xdr:to>
      <xdr:col>105</xdr:col>
      <xdr:colOff>19050</xdr:colOff>
      <xdr:row>10</xdr:row>
      <xdr:rowOff>142875</xdr:rowOff>
    </xdr:to>
    <xdr:sp macro="" textlink="">
      <xdr:nvSpPr>
        <xdr:cNvPr id="316615" name="Rectangle 27"/>
        <xdr:cNvSpPr>
          <a:spLocks noChangeArrowheads="1"/>
        </xdr:cNvSpPr>
      </xdr:nvSpPr>
      <xdr:spPr bwMode="auto">
        <a:xfrm>
          <a:off x="76609575" y="2571750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0</xdr:colOff>
      <xdr:row>10</xdr:row>
      <xdr:rowOff>0</xdr:rowOff>
    </xdr:from>
    <xdr:to>
      <xdr:col>105</xdr:col>
      <xdr:colOff>19050</xdr:colOff>
      <xdr:row>10</xdr:row>
      <xdr:rowOff>142875</xdr:rowOff>
    </xdr:to>
    <xdr:sp macro="" textlink="">
      <xdr:nvSpPr>
        <xdr:cNvPr id="316616" name="Rectangle 28"/>
        <xdr:cNvSpPr>
          <a:spLocks noChangeArrowheads="1"/>
        </xdr:cNvSpPr>
      </xdr:nvSpPr>
      <xdr:spPr bwMode="auto">
        <a:xfrm>
          <a:off x="76609575" y="2571750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0</xdr:colOff>
      <xdr:row>10</xdr:row>
      <xdr:rowOff>0</xdr:rowOff>
    </xdr:from>
    <xdr:to>
      <xdr:col>105</xdr:col>
      <xdr:colOff>19050</xdr:colOff>
      <xdr:row>10</xdr:row>
      <xdr:rowOff>142875</xdr:rowOff>
    </xdr:to>
    <xdr:sp macro="" textlink="">
      <xdr:nvSpPr>
        <xdr:cNvPr id="316617" name="Rectangle 28"/>
        <xdr:cNvSpPr>
          <a:spLocks noChangeArrowheads="1"/>
        </xdr:cNvSpPr>
      </xdr:nvSpPr>
      <xdr:spPr bwMode="auto">
        <a:xfrm>
          <a:off x="76609575" y="2571750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0</xdr:colOff>
      <xdr:row>10</xdr:row>
      <xdr:rowOff>0</xdr:rowOff>
    </xdr:from>
    <xdr:to>
      <xdr:col>105</xdr:col>
      <xdr:colOff>19050</xdr:colOff>
      <xdr:row>10</xdr:row>
      <xdr:rowOff>142875</xdr:rowOff>
    </xdr:to>
    <xdr:sp macro="" textlink="">
      <xdr:nvSpPr>
        <xdr:cNvPr id="316618" name="Rectangle 27"/>
        <xdr:cNvSpPr>
          <a:spLocks noChangeArrowheads="1"/>
        </xdr:cNvSpPr>
      </xdr:nvSpPr>
      <xdr:spPr bwMode="auto">
        <a:xfrm>
          <a:off x="76609575" y="2571750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0</xdr:colOff>
      <xdr:row>10</xdr:row>
      <xdr:rowOff>0</xdr:rowOff>
    </xdr:from>
    <xdr:to>
      <xdr:col>105</xdr:col>
      <xdr:colOff>19050</xdr:colOff>
      <xdr:row>10</xdr:row>
      <xdr:rowOff>142875</xdr:rowOff>
    </xdr:to>
    <xdr:sp macro="" textlink="">
      <xdr:nvSpPr>
        <xdr:cNvPr id="316619" name="Rectangle 28"/>
        <xdr:cNvSpPr>
          <a:spLocks noChangeArrowheads="1"/>
        </xdr:cNvSpPr>
      </xdr:nvSpPr>
      <xdr:spPr bwMode="auto">
        <a:xfrm>
          <a:off x="76609575" y="2571750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0</xdr:colOff>
      <xdr:row>10</xdr:row>
      <xdr:rowOff>0</xdr:rowOff>
    </xdr:from>
    <xdr:to>
      <xdr:col>105</xdr:col>
      <xdr:colOff>19050</xdr:colOff>
      <xdr:row>10</xdr:row>
      <xdr:rowOff>142875</xdr:rowOff>
    </xdr:to>
    <xdr:sp macro="" textlink="">
      <xdr:nvSpPr>
        <xdr:cNvPr id="316620" name="Rectangle 28"/>
        <xdr:cNvSpPr>
          <a:spLocks noChangeArrowheads="1"/>
        </xdr:cNvSpPr>
      </xdr:nvSpPr>
      <xdr:spPr bwMode="auto">
        <a:xfrm>
          <a:off x="76609575" y="2571750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0</xdr:colOff>
      <xdr:row>10</xdr:row>
      <xdr:rowOff>0</xdr:rowOff>
    </xdr:from>
    <xdr:to>
      <xdr:col>105</xdr:col>
      <xdr:colOff>19050</xdr:colOff>
      <xdr:row>10</xdr:row>
      <xdr:rowOff>142875</xdr:rowOff>
    </xdr:to>
    <xdr:sp macro="" textlink="">
      <xdr:nvSpPr>
        <xdr:cNvPr id="316621" name="Rectangle 28"/>
        <xdr:cNvSpPr>
          <a:spLocks noChangeArrowheads="1"/>
        </xdr:cNvSpPr>
      </xdr:nvSpPr>
      <xdr:spPr bwMode="auto">
        <a:xfrm>
          <a:off x="76609575" y="2571750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0</xdr:colOff>
      <xdr:row>10</xdr:row>
      <xdr:rowOff>0</xdr:rowOff>
    </xdr:from>
    <xdr:to>
      <xdr:col>105</xdr:col>
      <xdr:colOff>19050</xdr:colOff>
      <xdr:row>10</xdr:row>
      <xdr:rowOff>142875</xdr:rowOff>
    </xdr:to>
    <xdr:sp macro="" textlink="">
      <xdr:nvSpPr>
        <xdr:cNvPr id="316622" name="Rectangle 28"/>
        <xdr:cNvSpPr>
          <a:spLocks noChangeArrowheads="1"/>
        </xdr:cNvSpPr>
      </xdr:nvSpPr>
      <xdr:spPr bwMode="auto">
        <a:xfrm>
          <a:off x="76609575" y="2571750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0</xdr:colOff>
      <xdr:row>10</xdr:row>
      <xdr:rowOff>0</xdr:rowOff>
    </xdr:from>
    <xdr:to>
      <xdr:col>105</xdr:col>
      <xdr:colOff>19050</xdr:colOff>
      <xdr:row>10</xdr:row>
      <xdr:rowOff>142875</xdr:rowOff>
    </xdr:to>
    <xdr:sp macro="" textlink="">
      <xdr:nvSpPr>
        <xdr:cNvPr id="316623" name="Rectangle 27"/>
        <xdr:cNvSpPr>
          <a:spLocks noChangeArrowheads="1"/>
        </xdr:cNvSpPr>
      </xdr:nvSpPr>
      <xdr:spPr bwMode="auto">
        <a:xfrm>
          <a:off x="76609575" y="2571750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0</xdr:colOff>
      <xdr:row>10</xdr:row>
      <xdr:rowOff>0</xdr:rowOff>
    </xdr:from>
    <xdr:to>
      <xdr:col>105</xdr:col>
      <xdr:colOff>19050</xdr:colOff>
      <xdr:row>10</xdr:row>
      <xdr:rowOff>142875</xdr:rowOff>
    </xdr:to>
    <xdr:sp macro="" textlink="">
      <xdr:nvSpPr>
        <xdr:cNvPr id="316624" name="Rectangle 28"/>
        <xdr:cNvSpPr>
          <a:spLocks noChangeArrowheads="1"/>
        </xdr:cNvSpPr>
      </xdr:nvSpPr>
      <xdr:spPr bwMode="auto">
        <a:xfrm>
          <a:off x="76609575" y="2571750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0</xdr:colOff>
      <xdr:row>10</xdr:row>
      <xdr:rowOff>0</xdr:rowOff>
    </xdr:from>
    <xdr:to>
      <xdr:col>105</xdr:col>
      <xdr:colOff>19050</xdr:colOff>
      <xdr:row>10</xdr:row>
      <xdr:rowOff>142875</xdr:rowOff>
    </xdr:to>
    <xdr:sp macro="" textlink="">
      <xdr:nvSpPr>
        <xdr:cNvPr id="316625" name="Rectangle 27"/>
        <xdr:cNvSpPr>
          <a:spLocks noChangeArrowheads="1"/>
        </xdr:cNvSpPr>
      </xdr:nvSpPr>
      <xdr:spPr bwMode="auto">
        <a:xfrm>
          <a:off x="76609575" y="2571750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0</xdr:colOff>
      <xdr:row>10</xdr:row>
      <xdr:rowOff>0</xdr:rowOff>
    </xdr:from>
    <xdr:to>
      <xdr:col>105</xdr:col>
      <xdr:colOff>19050</xdr:colOff>
      <xdr:row>10</xdr:row>
      <xdr:rowOff>142875</xdr:rowOff>
    </xdr:to>
    <xdr:sp macro="" textlink="">
      <xdr:nvSpPr>
        <xdr:cNvPr id="316626" name="Rectangle 27"/>
        <xdr:cNvSpPr>
          <a:spLocks noChangeArrowheads="1"/>
        </xdr:cNvSpPr>
      </xdr:nvSpPr>
      <xdr:spPr bwMode="auto">
        <a:xfrm>
          <a:off x="76609575" y="2571750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0</xdr:colOff>
      <xdr:row>10</xdr:row>
      <xdr:rowOff>0</xdr:rowOff>
    </xdr:from>
    <xdr:to>
      <xdr:col>105</xdr:col>
      <xdr:colOff>19050</xdr:colOff>
      <xdr:row>10</xdr:row>
      <xdr:rowOff>142875</xdr:rowOff>
    </xdr:to>
    <xdr:sp macro="" textlink="">
      <xdr:nvSpPr>
        <xdr:cNvPr id="316627" name="Rectangle 28"/>
        <xdr:cNvSpPr>
          <a:spLocks noChangeArrowheads="1"/>
        </xdr:cNvSpPr>
      </xdr:nvSpPr>
      <xdr:spPr bwMode="auto">
        <a:xfrm>
          <a:off x="76609575" y="2571750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0</xdr:colOff>
      <xdr:row>10</xdr:row>
      <xdr:rowOff>0</xdr:rowOff>
    </xdr:from>
    <xdr:to>
      <xdr:col>105</xdr:col>
      <xdr:colOff>19050</xdr:colOff>
      <xdr:row>10</xdr:row>
      <xdr:rowOff>142875</xdr:rowOff>
    </xdr:to>
    <xdr:sp macro="" textlink="">
      <xdr:nvSpPr>
        <xdr:cNvPr id="316628" name="Rectangle 27"/>
        <xdr:cNvSpPr>
          <a:spLocks noChangeArrowheads="1"/>
        </xdr:cNvSpPr>
      </xdr:nvSpPr>
      <xdr:spPr bwMode="auto">
        <a:xfrm>
          <a:off x="76609575" y="2571750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0</xdr:colOff>
      <xdr:row>10</xdr:row>
      <xdr:rowOff>0</xdr:rowOff>
    </xdr:from>
    <xdr:to>
      <xdr:col>105</xdr:col>
      <xdr:colOff>19050</xdr:colOff>
      <xdr:row>10</xdr:row>
      <xdr:rowOff>142875</xdr:rowOff>
    </xdr:to>
    <xdr:sp macro="" textlink="">
      <xdr:nvSpPr>
        <xdr:cNvPr id="316629" name="Rectangle 27"/>
        <xdr:cNvSpPr>
          <a:spLocks noChangeArrowheads="1"/>
        </xdr:cNvSpPr>
      </xdr:nvSpPr>
      <xdr:spPr bwMode="auto">
        <a:xfrm>
          <a:off x="76609575" y="2571750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0</xdr:colOff>
      <xdr:row>10</xdr:row>
      <xdr:rowOff>0</xdr:rowOff>
    </xdr:from>
    <xdr:to>
      <xdr:col>105</xdr:col>
      <xdr:colOff>19050</xdr:colOff>
      <xdr:row>10</xdr:row>
      <xdr:rowOff>142875</xdr:rowOff>
    </xdr:to>
    <xdr:sp macro="" textlink="">
      <xdr:nvSpPr>
        <xdr:cNvPr id="316630" name="Rectangle 28"/>
        <xdr:cNvSpPr>
          <a:spLocks noChangeArrowheads="1"/>
        </xdr:cNvSpPr>
      </xdr:nvSpPr>
      <xdr:spPr bwMode="auto">
        <a:xfrm>
          <a:off x="76609575" y="2571750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0</xdr:colOff>
      <xdr:row>10</xdr:row>
      <xdr:rowOff>0</xdr:rowOff>
    </xdr:from>
    <xdr:to>
      <xdr:col>105</xdr:col>
      <xdr:colOff>19050</xdr:colOff>
      <xdr:row>10</xdr:row>
      <xdr:rowOff>142875</xdr:rowOff>
    </xdr:to>
    <xdr:sp macro="" textlink="">
      <xdr:nvSpPr>
        <xdr:cNvPr id="316631" name="Rectangle 27"/>
        <xdr:cNvSpPr>
          <a:spLocks noChangeArrowheads="1"/>
        </xdr:cNvSpPr>
      </xdr:nvSpPr>
      <xdr:spPr bwMode="auto">
        <a:xfrm>
          <a:off x="76609575" y="2571750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0</xdr:colOff>
      <xdr:row>10</xdr:row>
      <xdr:rowOff>0</xdr:rowOff>
    </xdr:from>
    <xdr:to>
      <xdr:col>105</xdr:col>
      <xdr:colOff>19050</xdr:colOff>
      <xdr:row>10</xdr:row>
      <xdr:rowOff>142875</xdr:rowOff>
    </xdr:to>
    <xdr:sp macro="" textlink="">
      <xdr:nvSpPr>
        <xdr:cNvPr id="316632" name="Rectangle 28"/>
        <xdr:cNvSpPr>
          <a:spLocks noChangeArrowheads="1"/>
        </xdr:cNvSpPr>
      </xdr:nvSpPr>
      <xdr:spPr bwMode="auto">
        <a:xfrm>
          <a:off x="76609575" y="2571750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0</xdr:colOff>
      <xdr:row>10</xdr:row>
      <xdr:rowOff>0</xdr:rowOff>
    </xdr:from>
    <xdr:to>
      <xdr:col>105</xdr:col>
      <xdr:colOff>19050</xdr:colOff>
      <xdr:row>10</xdr:row>
      <xdr:rowOff>142875</xdr:rowOff>
    </xdr:to>
    <xdr:sp macro="" textlink="">
      <xdr:nvSpPr>
        <xdr:cNvPr id="316633" name="Rectangle 27"/>
        <xdr:cNvSpPr>
          <a:spLocks noChangeArrowheads="1"/>
        </xdr:cNvSpPr>
      </xdr:nvSpPr>
      <xdr:spPr bwMode="auto">
        <a:xfrm>
          <a:off x="76609575" y="2571750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0</xdr:colOff>
      <xdr:row>10</xdr:row>
      <xdr:rowOff>0</xdr:rowOff>
    </xdr:from>
    <xdr:to>
      <xdr:col>105</xdr:col>
      <xdr:colOff>19050</xdr:colOff>
      <xdr:row>10</xdr:row>
      <xdr:rowOff>142875</xdr:rowOff>
    </xdr:to>
    <xdr:sp macro="" textlink="">
      <xdr:nvSpPr>
        <xdr:cNvPr id="316634" name="Rectangle 28"/>
        <xdr:cNvSpPr>
          <a:spLocks noChangeArrowheads="1"/>
        </xdr:cNvSpPr>
      </xdr:nvSpPr>
      <xdr:spPr bwMode="auto">
        <a:xfrm>
          <a:off x="76609575" y="2571750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0</xdr:colOff>
      <xdr:row>10</xdr:row>
      <xdr:rowOff>0</xdr:rowOff>
    </xdr:from>
    <xdr:to>
      <xdr:col>105</xdr:col>
      <xdr:colOff>19050</xdr:colOff>
      <xdr:row>10</xdr:row>
      <xdr:rowOff>142875</xdr:rowOff>
    </xdr:to>
    <xdr:sp macro="" textlink="">
      <xdr:nvSpPr>
        <xdr:cNvPr id="316635" name="Rectangle 27"/>
        <xdr:cNvSpPr>
          <a:spLocks noChangeArrowheads="1"/>
        </xdr:cNvSpPr>
      </xdr:nvSpPr>
      <xdr:spPr bwMode="auto">
        <a:xfrm>
          <a:off x="76609575" y="2571750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0</xdr:colOff>
      <xdr:row>10</xdr:row>
      <xdr:rowOff>0</xdr:rowOff>
    </xdr:from>
    <xdr:to>
      <xdr:col>105</xdr:col>
      <xdr:colOff>19050</xdr:colOff>
      <xdr:row>10</xdr:row>
      <xdr:rowOff>142875</xdr:rowOff>
    </xdr:to>
    <xdr:sp macro="" textlink="">
      <xdr:nvSpPr>
        <xdr:cNvPr id="316636" name="Rectangle 28"/>
        <xdr:cNvSpPr>
          <a:spLocks noChangeArrowheads="1"/>
        </xdr:cNvSpPr>
      </xdr:nvSpPr>
      <xdr:spPr bwMode="auto">
        <a:xfrm>
          <a:off x="76609575" y="2571750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0</xdr:colOff>
      <xdr:row>10</xdr:row>
      <xdr:rowOff>0</xdr:rowOff>
    </xdr:from>
    <xdr:to>
      <xdr:col>105</xdr:col>
      <xdr:colOff>19050</xdr:colOff>
      <xdr:row>10</xdr:row>
      <xdr:rowOff>142875</xdr:rowOff>
    </xdr:to>
    <xdr:sp macro="" textlink="">
      <xdr:nvSpPr>
        <xdr:cNvPr id="316637" name="Rectangle 27"/>
        <xdr:cNvSpPr>
          <a:spLocks noChangeArrowheads="1"/>
        </xdr:cNvSpPr>
      </xdr:nvSpPr>
      <xdr:spPr bwMode="auto">
        <a:xfrm>
          <a:off x="76609575" y="2571750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0</xdr:colOff>
      <xdr:row>10</xdr:row>
      <xdr:rowOff>0</xdr:rowOff>
    </xdr:from>
    <xdr:to>
      <xdr:col>105</xdr:col>
      <xdr:colOff>19050</xdr:colOff>
      <xdr:row>10</xdr:row>
      <xdr:rowOff>142875</xdr:rowOff>
    </xdr:to>
    <xdr:sp macro="" textlink="">
      <xdr:nvSpPr>
        <xdr:cNvPr id="316638" name="Rectangle 28"/>
        <xdr:cNvSpPr>
          <a:spLocks noChangeArrowheads="1"/>
        </xdr:cNvSpPr>
      </xdr:nvSpPr>
      <xdr:spPr bwMode="auto">
        <a:xfrm>
          <a:off x="76609575" y="2571750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0</xdr:colOff>
      <xdr:row>10</xdr:row>
      <xdr:rowOff>0</xdr:rowOff>
    </xdr:from>
    <xdr:to>
      <xdr:col>105</xdr:col>
      <xdr:colOff>19050</xdr:colOff>
      <xdr:row>10</xdr:row>
      <xdr:rowOff>142875</xdr:rowOff>
    </xdr:to>
    <xdr:sp macro="" textlink="">
      <xdr:nvSpPr>
        <xdr:cNvPr id="316639" name="Rectangle 27"/>
        <xdr:cNvSpPr>
          <a:spLocks noChangeArrowheads="1"/>
        </xdr:cNvSpPr>
      </xdr:nvSpPr>
      <xdr:spPr bwMode="auto">
        <a:xfrm>
          <a:off x="76609575" y="2571750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0</xdr:colOff>
      <xdr:row>10</xdr:row>
      <xdr:rowOff>0</xdr:rowOff>
    </xdr:from>
    <xdr:to>
      <xdr:col>105</xdr:col>
      <xdr:colOff>19050</xdr:colOff>
      <xdr:row>10</xdr:row>
      <xdr:rowOff>142875</xdr:rowOff>
    </xdr:to>
    <xdr:sp macro="" textlink="">
      <xdr:nvSpPr>
        <xdr:cNvPr id="316640" name="Rectangle 28"/>
        <xdr:cNvSpPr>
          <a:spLocks noChangeArrowheads="1"/>
        </xdr:cNvSpPr>
      </xdr:nvSpPr>
      <xdr:spPr bwMode="auto">
        <a:xfrm>
          <a:off x="76609575" y="2571750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0</xdr:colOff>
      <xdr:row>10</xdr:row>
      <xdr:rowOff>0</xdr:rowOff>
    </xdr:from>
    <xdr:to>
      <xdr:col>105</xdr:col>
      <xdr:colOff>19050</xdr:colOff>
      <xdr:row>10</xdr:row>
      <xdr:rowOff>142875</xdr:rowOff>
    </xdr:to>
    <xdr:sp macro="" textlink="">
      <xdr:nvSpPr>
        <xdr:cNvPr id="316641" name="Rectangle 27"/>
        <xdr:cNvSpPr>
          <a:spLocks noChangeArrowheads="1"/>
        </xdr:cNvSpPr>
      </xdr:nvSpPr>
      <xdr:spPr bwMode="auto">
        <a:xfrm>
          <a:off x="76609575" y="2571750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0</xdr:colOff>
      <xdr:row>10</xdr:row>
      <xdr:rowOff>0</xdr:rowOff>
    </xdr:from>
    <xdr:to>
      <xdr:col>105</xdr:col>
      <xdr:colOff>19050</xdr:colOff>
      <xdr:row>10</xdr:row>
      <xdr:rowOff>142875</xdr:rowOff>
    </xdr:to>
    <xdr:sp macro="" textlink="">
      <xdr:nvSpPr>
        <xdr:cNvPr id="316642" name="Rectangle 28"/>
        <xdr:cNvSpPr>
          <a:spLocks noChangeArrowheads="1"/>
        </xdr:cNvSpPr>
      </xdr:nvSpPr>
      <xdr:spPr bwMode="auto">
        <a:xfrm>
          <a:off x="76609575" y="2571750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0</xdr:colOff>
      <xdr:row>10</xdr:row>
      <xdr:rowOff>0</xdr:rowOff>
    </xdr:from>
    <xdr:to>
      <xdr:col>105</xdr:col>
      <xdr:colOff>19050</xdr:colOff>
      <xdr:row>10</xdr:row>
      <xdr:rowOff>142875</xdr:rowOff>
    </xdr:to>
    <xdr:sp macro="" textlink="">
      <xdr:nvSpPr>
        <xdr:cNvPr id="316643" name="Rectangle 27"/>
        <xdr:cNvSpPr>
          <a:spLocks noChangeArrowheads="1"/>
        </xdr:cNvSpPr>
      </xdr:nvSpPr>
      <xdr:spPr bwMode="auto">
        <a:xfrm>
          <a:off x="76609575" y="2571750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0</xdr:colOff>
      <xdr:row>10</xdr:row>
      <xdr:rowOff>0</xdr:rowOff>
    </xdr:from>
    <xdr:to>
      <xdr:col>105</xdr:col>
      <xdr:colOff>19050</xdr:colOff>
      <xdr:row>10</xdr:row>
      <xdr:rowOff>142875</xdr:rowOff>
    </xdr:to>
    <xdr:sp macro="" textlink="">
      <xdr:nvSpPr>
        <xdr:cNvPr id="316644" name="Rectangle 28"/>
        <xdr:cNvSpPr>
          <a:spLocks noChangeArrowheads="1"/>
        </xdr:cNvSpPr>
      </xdr:nvSpPr>
      <xdr:spPr bwMode="auto">
        <a:xfrm>
          <a:off x="76609575" y="2571750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0</xdr:colOff>
      <xdr:row>10</xdr:row>
      <xdr:rowOff>0</xdr:rowOff>
    </xdr:from>
    <xdr:to>
      <xdr:col>105</xdr:col>
      <xdr:colOff>19050</xdr:colOff>
      <xdr:row>10</xdr:row>
      <xdr:rowOff>142875</xdr:rowOff>
    </xdr:to>
    <xdr:sp macro="" textlink="">
      <xdr:nvSpPr>
        <xdr:cNvPr id="316645" name="Rectangle 27"/>
        <xdr:cNvSpPr>
          <a:spLocks noChangeArrowheads="1"/>
        </xdr:cNvSpPr>
      </xdr:nvSpPr>
      <xdr:spPr bwMode="auto">
        <a:xfrm>
          <a:off x="76609575" y="2571750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0</xdr:colOff>
      <xdr:row>10</xdr:row>
      <xdr:rowOff>0</xdr:rowOff>
    </xdr:from>
    <xdr:to>
      <xdr:col>105</xdr:col>
      <xdr:colOff>19050</xdr:colOff>
      <xdr:row>10</xdr:row>
      <xdr:rowOff>142875</xdr:rowOff>
    </xdr:to>
    <xdr:sp macro="" textlink="">
      <xdr:nvSpPr>
        <xdr:cNvPr id="316646" name="Rectangle 28"/>
        <xdr:cNvSpPr>
          <a:spLocks noChangeArrowheads="1"/>
        </xdr:cNvSpPr>
      </xdr:nvSpPr>
      <xdr:spPr bwMode="auto">
        <a:xfrm>
          <a:off x="76609575" y="2571750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0</xdr:colOff>
      <xdr:row>10</xdr:row>
      <xdr:rowOff>0</xdr:rowOff>
    </xdr:from>
    <xdr:to>
      <xdr:col>105</xdr:col>
      <xdr:colOff>19050</xdr:colOff>
      <xdr:row>10</xdr:row>
      <xdr:rowOff>142875</xdr:rowOff>
    </xdr:to>
    <xdr:sp macro="" textlink="">
      <xdr:nvSpPr>
        <xdr:cNvPr id="316647" name="Rectangle 27"/>
        <xdr:cNvSpPr>
          <a:spLocks noChangeArrowheads="1"/>
        </xdr:cNvSpPr>
      </xdr:nvSpPr>
      <xdr:spPr bwMode="auto">
        <a:xfrm>
          <a:off x="76609575" y="2571750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0</xdr:colOff>
      <xdr:row>10</xdr:row>
      <xdr:rowOff>0</xdr:rowOff>
    </xdr:from>
    <xdr:to>
      <xdr:col>105</xdr:col>
      <xdr:colOff>19050</xdr:colOff>
      <xdr:row>10</xdr:row>
      <xdr:rowOff>142875</xdr:rowOff>
    </xdr:to>
    <xdr:sp macro="" textlink="">
      <xdr:nvSpPr>
        <xdr:cNvPr id="316648" name="Rectangle 28"/>
        <xdr:cNvSpPr>
          <a:spLocks noChangeArrowheads="1"/>
        </xdr:cNvSpPr>
      </xdr:nvSpPr>
      <xdr:spPr bwMode="auto">
        <a:xfrm>
          <a:off x="76609575" y="2571750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0</xdr:colOff>
      <xdr:row>10</xdr:row>
      <xdr:rowOff>0</xdr:rowOff>
    </xdr:from>
    <xdr:to>
      <xdr:col>105</xdr:col>
      <xdr:colOff>19050</xdr:colOff>
      <xdr:row>10</xdr:row>
      <xdr:rowOff>142875</xdr:rowOff>
    </xdr:to>
    <xdr:sp macro="" textlink="">
      <xdr:nvSpPr>
        <xdr:cNvPr id="316649" name="Rectangle 27"/>
        <xdr:cNvSpPr>
          <a:spLocks noChangeArrowheads="1"/>
        </xdr:cNvSpPr>
      </xdr:nvSpPr>
      <xdr:spPr bwMode="auto">
        <a:xfrm>
          <a:off x="76609575" y="2571750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0</xdr:colOff>
      <xdr:row>10</xdr:row>
      <xdr:rowOff>0</xdr:rowOff>
    </xdr:from>
    <xdr:to>
      <xdr:col>105</xdr:col>
      <xdr:colOff>19050</xdr:colOff>
      <xdr:row>10</xdr:row>
      <xdr:rowOff>142875</xdr:rowOff>
    </xdr:to>
    <xdr:sp macro="" textlink="">
      <xdr:nvSpPr>
        <xdr:cNvPr id="316650" name="Rectangle 28"/>
        <xdr:cNvSpPr>
          <a:spLocks noChangeArrowheads="1"/>
        </xdr:cNvSpPr>
      </xdr:nvSpPr>
      <xdr:spPr bwMode="auto">
        <a:xfrm>
          <a:off x="76609575" y="2571750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0</xdr:colOff>
      <xdr:row>10</xdr:row>
      <xdr:rowOff>0</xdr:rowOff>
    </xdr:from>
    <xdr:to>
      <xdr:col>105</xdr:col>
      <xdr:colOff>19050</xdr:colOff>
      <xdr:row>10</xdr:row>
      <xdr:rowOff>142875</xdr:rowOff>
    </xdr:to>
    <xdr:sp macro="" textlink="">
      <xdr:nvSpPr>
        <xdr:cNvPr id="316651" name="Rectangle 27"/>
        <xdr:cNvSpPr>
          <a:spLocks noChangeArrowheads="1"/>
        </xdr:cNvSpPr>
      </xdr:nvSpPr>
      <xdr:spPr bwMode="auto">
        <a:xfrm>
          <a:off x="76609575" y="2571750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0</xdr:colOff>
      <xdr:row>10</xdr:row>
      <xdr:rowOff>0</xdr:rowOff>
    </xdr:from>
    <xdr:to>
      <xdr:col>105</xdr:col>
      <xdr:colOff>19050</xdr:colOff>
      <xdr:row>10</xdr:row>
      <xdr:rowOff>142875</xdr:rowOff>
    </xdr:to>
    <xdr:sp macro="" textlink="">
      <xdr:nvSpPr>
        <xdr:cNvPr id="316652" name="Rectangle 28"/>
        <xdr:cNvSpPr>
          <a:spLocks noChangeArrowheads="1"/>
        </xdr:cNvSpPr>
      </xdr:nvSpPr>
      <xdr:spPr bwMode="auto">
        <a:xfrm>
          <a:off x="76609575" y="2571750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0</xdr:colOff>
      <xdr:row>10</xdr:row>
      <xdr:rowOff>0</xdr:rowOff>
    </xdr:from>
    <xdr:to>
      <xdr:col>105</xdr:col>
      <xdr:colOff>19050</xdr:colOff>
      <xdr:row>10</xdr:row>
      <xdr:rowOff>142875</xdr:rowOff>
    </xdr:to>
    <xdr:sp macro="" textlink="">
      <xdr:nvSpPr>
        <xdr:cNvPr id="316653" name="Rectangle 27"/>
        <xdr:cNvSpPr>
          <a:spLocks noChangeArrowheads="1"/>
        </xdr:cNvSpPr>
      </xdr:nvSpPr>
      <xdr:spPr bwMode="auto">
        <a:xfrm>
          <a:off x="76609575" y="2571750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0</xdr:colOff>
      <xdr:row>10</xdr:row>
      <xdr:rowOff>0</xdr:rowOff>
    </xdr:from>
    <xdr:to>
      <xdr:col>105</xdr:col>
      <xdr:colOff>19050</xdr:colOff>
      <xdr:row>10</xdr:row>
      <xdr:rowOff>142875</xdr:rowOff>
    </xdr:to>
    <xdr:sp macro="" textlink="">
      <xdr:nvSpPr>
        <xdr:cNvPr id="316654" name="Rectangle 28"/>
        <xdr:cNvSpPr>
          <a:spLocks noChangeArrowheads="1"/>
        </xdr:cNvSpPr>
      </xdr:nvSpPr>
      <xdr:spPr bwMode="auto">
        <a:xfrm>
          <a:off x="76609575" y="2571750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0</xdr:colOff>
      <xdr:row>10</xdr:row>
      <xdr:rowOff>0</xdr:rowOff>
    </xdr:from>
    <xdr:to>
      <xdr:col>105</xdr:col>
      <xdr:colOff>19050</xdr:colOff>
      <xdr:row>10</xdr:row>
      <xdr:rowOff>142875</xdr:rowOff>
    </xdr:to>
    <xdr:sp macro="" textlink="">
      <xdr:nvSpPr>
        <xdr:cNvPr id="316655" name="Rectangle 27"/>
        <xdr:cNvSpPr>
          <a:spLocks noChangeArrowheads="1"/>
        </xdr:cNvSpPr>
      </xdr:nvSpPr>
      <xdr:spPr bwMode="auto">
        <a:xfrm>
          <a:off x="76609575" y="2571750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0</xdr:colOff>
      <xdr:row>10</xdr:row>
      <xdr:rowOff>0</xdr:rowOff>
    </xdr:from>
    <xdr:to>
      <xdr:col>105</xdr:col>
      <xdr:colOff>19050</xdr:colOff>
      <xdr:row>10</xdr:row>
      <xdr:rowOff>142875</xdr:rowOff>
    </xdr:to>
    <xdr:sp macro="" textlink="">
      <xdr:nvSpPr>
        <xdr:cNvPr id="316656" name="Rectangle 28"/>
        <xdr:cNvSpPr>
          <a:spLocks noChangeArrowheads="1"/>
        </xdr:cNvSpPr>
      </xdr:nvSpPr>
      <xdr:spPr bwMode="auto">
        <a:xfrm>
          <a:off x="76609575" y="2571750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0</xdr:colOff>
      <xdr:row>10</xdr:row>
      <xdr:rowOff>0</xdr:rowOff>
    </xdr:from>
    <xdr:to>
      <xdr:col>105</xdr:col>
      <xdr:colOff>19050</xdr:colOff>
      <xdr:row>10</xdr:row>
      <xdr:rowOff>142875</xdr:rowOff>
    </xdr:to>
    <xdr:sp macro="" textlink="">
      <xdr:nvSpPr>
        <xdr:cNvPr id="316657" name="Rectangle 27"/>
        <xdr:cNvSpPr>
          <a:spLocks noChangeArrowheads="1"/>
        </xdr:cNvSpPr>
      </xdr:nvSpPr>
      <xdr:spPr bwMode="auto">
        <a:xfrm>
          <a:off x="76609575" y="2571750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0</xdr:colOff>
      <xdr:row>10</xdr:row>
      <xdr:rowOff>0</xdr:rowOff>
    </xdr:from>
    <xdr:to>
      <xdr:col>105</xdr:col>
      <xdr:colOff>19050</xdr:colOff>
      <xdr:row>10</xdr:row>
      <xdr:rowOff>142875</xdr:rowOff>
    </xdr:to>
    <xdr:sp macro="" textlink="">
      <xdr:nvSpPr>
        <xdr:cNvPr id="316658" name="Rectangle 28"/>
        <xdr:cNvSpPr>
          <a:spLocks noChangeArrowheads="1"/>
        </xdr:cNvSpPr>
      </xdr:nvSpPr>
      <xdr:spPr bwMode="auto">
        <a:xfrm>
          <a:off x="76609575" y="2571750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0</xdr:colOff>
      <xdr:row>10</xdr:row>
      <xdr:rowOff>0</xdr:rowOff>
    </xdr:from>
    <xdr:to>
      <xdr:col>105</xdr:col>
      <xdr:colOff>19050</xdr:colOff>
      <xdr:row>10</xdr:row>
      <xdr:rowOff>142875</xdr:rowOff>
    </xdr:to>
    <xdr:sp macro="" textlink="">
      <xdr:nvSpPr>
        <xdr:cNvPr id="316659" name="Rectangle 27"/>
        <xdr:cNvSpPr>
          <a:spLocks noChangeArrowheads="1"/>
        </xdr:cNvSpPr>
      </xdr:nvSpPr>
      <xdr:spPr bwMode="auto">
        <a:xfrm>
          <a:off x="76609575" y="2571750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0</xdr:colOff>
      <xdr:row>10</xdr:row>
      <xdr:rowOff>0</xdr:rowOff>
    </xdr:from>
    <xdr:to>
      <xdr:col>105</xdr:col>
      <xdr:colOff>19050</xdr:colOff>
      <xdr:row>10</xdr:row>
      <xdr:rowOff>142875</xdr:rowOff>
    </xdr:to>
    <xdr:sp macro="" textlink="">
      <xdr:nvSpPr>
        <xdr:cNvPr id="316660" name="Rectangle 28"/>
        <xdr:cNvSpPr>
          <a:spLocks noChangeArrowheads="1"/>
        </xdr:cNvSpPr>
      </xdr:nvSpPr>
      <xdr:spPr bwMode="auto">
        <a:xfrm>
          <a:off x="76609575" y="2571750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0</xdr:colOff>
      <xdr:row>10</xdr:row>
      <xdr:rowOff>0</xdr:rowOff>
    </xdr:from>
    <xdr:to>
      <xdr:col>105</xdr:col>
      <xdr:colOff>19050</xdr:colOff>
      <xdr:row>10</xdr:row>
      <xdr:rowOff>142875</xdr:rowOff>
    </xdr:to>
    <xdr:sp macro="" textlink="">
      <xdr:nvSpPr>
        <xdr:cNvPr id="316661" name="Rectangle 27"/>
        <xdr:cNvSpPr>
          <a:spLocks noChangeArrowheads="1"/>
        </xdr:cNvSpPr>
      </xdr:nvSpPr>
      <xdr:spPr bwMode="auto">
        <a:xfrm>
          <a:off x="76609575" y="2571750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0</xdr:colOff>
      <xdr:row>10</xdr:row>
      <xdr:rowOff>0</xdr:rowOff>
    </xdr:from>
    <xdr:to>
      <xdr:col>105</xdr:col>
      <xdr:colOff>19050</xdr:colOff>
      <xdr:row>10</xdr:row>
      <xdr:rowOff>142875</xdr:rowOff>
    </xdr:to>
    <xdr:sp macro="" textlink="">
      <xdr:nvSpPr>
        <xdr:cNvPr id="316662" name="Rectangle 28"/>
        <xdr:cNvSpPr>
          <a:spLocks noChangeArrowheads="1"/>
        </xdr:cNvSpPr>
      </xdr:nvSpPr>
      <xdr:spPr bwMode="auto">
        <a:xfrm>
          <a:off x="76609575" y="2571750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0</xdr:colOff>
      <xdr:row>10</xdr:row>
      <xdr:rowOff>0</xdr:rowOff>
    </xdr:from>
    <xdr:to>
      <xdr:col>105</xdr:col>
      <xdr:colOff>19050</xdr:colOff>
      <xdr:row>10</xdr:row>
      <xdr:rowOff>142875</xdr:rowOff>
    </xdr:to>
    <xdr:sp macro="" textlink="">
      <xdr:nvSpPr>
        <xdr:cNvPr id="316663" name="Rectangle 27"/>
        <xdr:cNvSpPr>
          <a:spLocks noChangeArrowheads="1"/>
        </xdr:cNvSpPr>
      </xdr:nvSpPr>
      <xdr:spPr bwMode="auto">
        <a:xfrm>
          <a:off x="76609575" y="2571750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0</xdr:colOff>
      <xdr:row>10</xdr:row>
      <xdr:rowOff>0</xdr:rowOff>
    </xdr:from>
    <xdr:to>
      <xdr:col>105</xdr:col>
      <xdr:colOff>19050</xdr:colOff>
      <xdr:row>10</xdr:row>
      <xdr:rowOff>142875</xdr:rowOff>
    </xdr:to>
    <xdr:sp macro="" textlink="">
      <xdr:nvSpPr>
        <xdr:cNvPr id="316664" name="Rectangle 28"/>
        <xdr:cNvSpPr>
          <a:spLocks noChangeArrowheads="1"/>
        </xdr:cNvSpPr>
      </xdr:nvSpPr>
      <xdr:spPr bwMode="auto">
        <a:xfrm>
          <a:off x="76609575" y="2571750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0</xdr:colOff>
      <xdr:row>10</xdr:row>
      <xdr:rowOff>0</xdr:rowOff>
    </xdr:from>
    <xdr:to>
      <xdr:col>105</xdr:col>
      <xdr:colOff>19050</xdr:colOff>
      <xdr:row>10</xdr:row>
      <xdr:rowOff>142875</xdr:rowOff>
    </xdr:to>
    <xdr:sp macro="" textlink="">
      <xdr:nvSpPr>
        <xdr:cNvPr id="316665" name="Rectangle 27"/>
        <xdr:cNvSpPr>
          <a:spLocks noChangeArrowheads="1"/>
        </xdr:cNvSpPr>
      </xdr:nvSpPr>
      <xdr:spPr bwMode="auto">
        <a:xfrm>
          <a:off x="76609575" y="2571750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0</xdr:colOff>
      <xdr:row>10</xdr:row>
      <xdr:rowOff>0</xdr:rowOff>
    </xdr:from>
    <xdr:to>
      <xdr:col>105</xdr:col>
      <xdr:colOff>19050</xdr:colOff>
      <xdr:row>10</xdr:row>
      <xdr:rowOff>142875</xdr:rowOff>
    </xdr:to>
    <xdr:sp macro="" textlink="">
      <xdr:nvSpPr>
        <xdr:cNvPr id="316666" name="Rectangle 28"/>
        <xdr:cNvSpPr>
          <a:spLocks noChangeArrowheads="1"/>
        </xdr:cNvSpPr>
      </xdr:nvSpPr>
      <xdr:spPr bwMode="auto">
        <a:xfrm>
          <a:off x="76609575" y="2571750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0</xdr:colOff>
      <xdr:row>10</xdr:row>
      <xdr:rowOff>0</xdr:rowOff>
    </xdr:from>
    <xdr:to>
      <xdr:col>105</xdr:col>
      <xdr:colOff>19050</xdr:colOff>
      <xdr:row>10</xdr:row>
      <xdr:rowOff>142875</xdr:rowOff>
    </xdr:to>
    <xdr:sp macro="" textlink="">
      <xdr:nvSpPr>
        <xdr:cNvPr id="316667" name="Rectangle 27"/>
        <xdr:cNvSpPr>
          <a:spLocks noChangeArrowheads="1"/>
        </xdr:cNvSpPr>
      </xdr:nvSpPr>
      <xdr:spPr bwMode="auto">
        <a:xfrm>
          <a:off x="76609575" y="2571750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0</xdr:colOff>
      <xdr:row>10</xdr:row>
      <xdr:rowOff>0</xdr:rowOff>
    </xdr:from>
    <xdr:to>
      <xdr:col>105</xdr:col>
      <xdr:colOff>19050</xdr:colOff>
      <xdr:row>10</xdr:row>
      <xdr:rowOff>142875</xdr:rowOff>
    </xdr:to>
    <xdr:sp macro="" textlink="">
      <xdr:nvSpPr>
        <xdr:cNvPr id="316668" name="Rectangle 28"/>
        <xdr:cNvSpPr>
          <a:spLocks noChangeArrowheads="1"/>
        </xdr:cNvSpPr>
      </xdr:nvSpPr>
      <xdr:spPr bwMode="auto">
        <a:xfrm>
          <a:off x="76609575" y="2571750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0</xdr:colOff>
      <xdr:row>10</xdr:row>
      <xdr:rowOff>0</xdr:rowOff>
    </xdr:from>
    <xdr:to>
      <xdr:col>105</xdr:col>
      <xdr:colOff>19050</xdr:colOff>
      <xdr:row>10</xdr:row>
      <xdr:rowOff>190500</xdr:rowOff>
    </xdr:to>
    <xdr:sp macro="" textlink="">
      <xdr:nvSpPr>
        <xdr:cNvPr id="316669" name="Rectangle 27"/>
        <xdr:cNvSpPr>
          <a:spLocks noChangeArrowheads="1"/>
        </xdr:cNvSpPr>
      </xdr:nvSpPr>
      <xdr:spPr bwMode="auto">
        <a:xfrm>
          <a:off x="76609575" y="2571750"/>
          <a:ext cx="190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0</xdr:colOff>
      <xdr:row>10</xdr:row>
      <xdr:rowOff>0</xdr:rowOff>
    </xdr:from>
    <xdr:to>
      <xdr:col>105</xdr:col>
      <xdr:colOff>19050</xdr:colOff>
      <xdr:row>10</xdr:row>
      <xdr:rowOff>190500</xdr:rowOff>
    </xdr:to>
    <xdr:sp macro="" textlink="">
      <xdr:nvSpPr>
        <xdr:cNvPr id="316670" name="Rectangle 28"/>
        <xdr:cNvSpPr>
          <a:spLocks noChangeArrowheads="1"/>
        </xdr:cNvSpPr>
      </xdr:nvSpPr>
      <xdr:spPr bwMode="auto">
        <a:xfrm>
          <a:off x="76609575" y="2571750"/>
          <a:ext cx="190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0</xdr:colOff>
      <xdr:row>10</xdr:row>
      <xdr:rowOff>0</xdr:rowOff>
    </xdr:from>
    <xdr:to>
      <xdr:col>105</xdr:col>
      <xdr:colOff>19050</xdr:colOff>
      <xdr:row>10</xdr:row>
      <xdr:rowOff>190500</xdr:rowOff>
    </xdr:to>
    <xdr:sp macro="" textlink="">
      <xdr:nvSpPr>
        <xdr:cNvPr id="316671" name="Rectangle 28"/>
        <xdr:cNvSpPr>
          <a:spLocks noChangeArrowheads="1"/>
        </xdr:cNvSpPr>
      </xdr:nvSpPr>
      <xdr:spPr bwMode="auto">
        <a:xfrm>
          <a:off x="76609575" y="2571750"/>
          <a:ext cx="190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0</xdr:colOff>
      <xdr:row>10</xdr:row>
      <xdr:rowOff>0</xdr:rowOff>
    </xdr:from>
    <xdr:to>
      <xdr:col>105</xdr:col>
      <xdr:colOff>19050</xdr:colOff>
      <xdr:row>10</xdr:row>
      <xdr:rowOff>190500</xdr:rowOff>
    </xdr:to>
    <xdr:sp macro="" textlink="">
      <xdr:nvSpPr>
        <xdr:cNvPr id="316672" name="Rectangle 28"/>
        <xdr:cNvSpPr>
          <a:spLocks noChangeArrowheads="1"/>
        </xdr:cNvSpPr>
      </xdr:nvSpPr>
      <xdr:spPr bwMode="auto">
        <a:xfrm>
          <a:off x="76609575" y="2571750"/>
          <a:ext cx="190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0</xdr:colOff>
      <xdr:row>10</xdr:row>
      <xdr:rowOff>0</xdr:rowOff>
    </xdr:from>
    <xdr:to>
      <xdr:col>105</xdr:col>
      <xdr:colOff>19050</xdr:colOff>
      <xdr:row>10</xdr:row>
      <xdr:rowOff>190500</xdr:rowOff>
    </xdr:to>
    <xdr:sp macro="" textlink="">
      <xdr:nvSpPr>
        <xdr:cNvPr id="316673" name="Rectangle 27"/>
        <xdr:cNvSpPr>
          <a:spLocks noChangeArrowheads="1"/>
        </xdr:cNvSpPr>
      </xdr:nvSpPr>
      <xdr:spPr bwMode="auto">
        <a:xfrm>
          <a:off x="76609575" y="2571750"/>
          <a:ext cx="190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0</xdr:colOff>
      <xdr:row>10</xdr:row>
      <xdr:rowOff>0</xdr:rowOff>
    </xdr:from>
    <xdr:to>
      <xdr:col>105</xdr:col>
      <xdr:colOff>19050</xdr:colOff>
      <xdr:row>10</xdr:row>
      <xdr:rowOff>190500</xdr:rowOff>
    </xdr:to>
    <xdr:sp macro="" textlink="">
      <xdr:nvSpPr>
        <xdr:cNvPr id="316674" name="Rectangle 28"/>
        <xdr:cNvSpPr>
          <a:spLocks noChangeArrowheads="1"/>
        </xdr:cNvSpPr>
      </xdr:nvSpPr>
      <xdr:spPr bwMode="auto">
        <a:xfrm>
          <a:off x="76609575" y="2571750"/>
          <a:ext cx="190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0</xdr:colOff>
      <xdr:row>10</xdr:row>
      <xdr:rowOff>0</xdr:rowOff>
    </xdr:from>
    <xdr:to>
      <xdr:col>105</xdr:col>
      <xdr:colOff>19050</xdr:colOff>
      <xdr:row>10</xdr:row>
      <xdr:rowOff>190500</xdr:rowOff>
    </xdr:to>
    <xdr:sp macro="" textlink="">
      <xdr:nvSpPr>
        <xdr:cNvPr id="316675" name="Rectangle 28"/>
        <xdr:cNvSpPr>
          <a:spLocks noChangeArrowheads="1"/>
        </xdr:cNvSpPr>
      </xdr:nvSpPr>
      <xdr:spPr bwMode="auto">
        <a:xfrm>
          <a:off x="76609575" y="2571750"/>
          <a:ext cx="190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0</xdr:colOff>
      <xdr:row>10</xdr:row>
      <xdr:rowOff>0</xdr:rowOff>
    </xdr:from>
    <xdr:to>
      <xdr:col>105</xdr:col>
      <xdr:colOff>19050</xdr:colOff>
      <xdr:row>10</xdr:row>
      <xdr:rowOff>190500</xdr:rowOff>
    </xdr:to>
    <xdr:sp macro="" textlink="">
      <xdr:nvSpPr>
        <xdr:cNvPr id="316676" name="Rectangle 28"/>
        <xdr:cNvSpPr>
          <a:spLocks noChangeArrowheads="1"/>
        </xdr:cNvSpPr>
      </xdr:nvSpPr>
      <xdr:spPr bwMode="auto">
        <a:xfrm>
          <a:off x="76609575" y="2571750"/>
          <a:ext cx="190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0</xdr:colOff>
      <xdr:row>10</xdr:row>
      <xdr:rowOff>0</xdr:rowOff>
    </xdr:from>
    <xdr:to>
      <xdr:col>105</xdr:col>
      <xdr:colOff>19050</xdr:colOff>
      <xdr:row>10</xdr:row>
      <xdr:rowOff>190500</xdr:rowOff>
    </xdr:to>
    <xdr:sp macro="" textlink="">
      <xdr:nvSpPr>
        <xdr:cNvPr id="316677" name="Rectangle 28"/>
        <xdr:cNvSpPr>
          <a:spLocks noChangeArrowheads="1"/>
        </xdr:cNvSpPr>
      </xdr:nvSpPr>
      <xdr:spPr bwMode="auto">
        <a:xfrm>
          <a:off x="76609575" y="2571750"/>
          <a:ext cx="190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0</xdr:colOff>
      <xdr:row>10</xdr:row>
      <xdr:rowOff>0</xdr:rowOff>
    </xdr:from>
    <xdr:to>
      <xdr:col>105</xdr:col>
      <xdr:colOff>19050</xdr:colOff>
      <xdr:row>10</xdr:row>
      <xdr:rowOff>190500</xdr:rowOff>
    </xdr:to>
    <xdr:sp macro="" textlink="">
      <xdr:nvSpPr>
        <xdr:cNvPr id="316678" name="Rectangle 27"/>
        <xdr:cNvSpPr>
          <a:spLocks noChangeArrowheads="1"/>
        </xdr:cNvSpPr>
      </xdr:nvSpPr>
      <xdr:spPr bwMode="auto">
        <a:xfrm>
          <a:off x="76609575" y="2571750"/>
          <a:ext cx="190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0</xdr:colOff>
      <xdr:row>10</xdr:row>
      <xdr:rowOff>0</xdr:rowOff>
    </xdr:from>
    <xdr:to>
      <xdr:col>105</xdr:col>
      <xdr:colOff>19050</xdr:colOff>
      <xdr:row>10</xdr:row>
      <xdr:rowOff>190500</xdr:rowOff>
    </xdr:to>
    <xdr:sp macro="" textlink="">
      <xdr:nvSpPr>
        <xdr:cNvPr id="316679" name="Rectangle 28"/>
        <xdr:cNvSpPr>
          <a:spLocks noChangeArrowheads="1"/>
        </xdr:cNvSpPr>
      </xdr:nvSpPr>
      <xdr:spPr bwMode="auto">
        <a:xfrm>
          <a:off x="76609575" y="2571750"/>
          <a:ext cx="190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0</xdr:colOff>
      <xdr:row>10</xdr:row>
      <xdr:rowOff>0</xdr:rowOff>
    </xdr:from>
    <xdr:to>
      <xdr:col>105</xdr:col>
      <xdr:colOff>19050</xdr:colOff>
      <xdr:row>10</xdr:row>
      <xdr:rowOff>190500</xdr:rowOff>
    </xdr:to>
    <xdr:sp macro="" textlink="">
      <xdr:nvSpPr>
        <xdr:cNvPr id="316680" name="Rectangle 27"/>
        <xdr:cNvSpPr>
          <a:spLocks noChangeArrowheads="1"/>
        </xdr:cNvSpPr>
      </xdr:nvSpPr>
      <xdr:spPr bwMode="auto">
        <a:xfrm>
          <a:off x="76609575" y="2571750"/>
          <a:ext cx="190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0</xdr:colOff>
      <xdr:row>10</xdr:row>
      <xdr:rowOff>0</xdr:rowOff>
    </xdr:from>
    <xdr:to>
      <xdr:col>105</xdr:col>
      <xdr:colOff>19050</xdr:colOff>
      <xdr:row>10</xdr:row>
      <xdr:rowOff>190500</xdr:rowOff>
    </xdr:to>
    <xdr:sp macro="" textlink="">
      <xdr:nvSpPr>
        <xdr:cNvPr id="316681" name="Rectangle 28"/>
        <xdr:cNvSpPr>
          <a:spLocks noChangeArrowheads="1"/>
        </xdr:cNvSpPr>
      </xdr:nvSpPr>
      <xdr:spPr bwMode="auto">
        <a:xfrm>
          <a:off x="76609575" y="2571750"/>
          <a:ext cx="190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0</xdr:colOff>
      <xdr:row>10</xdr:row>
      <xdr:rowOff>0</xdr:rowOff>
    </xdr:from>
    <xdr:to>
      <xdr:col>105</xdr:col>
      <xdr:colOff>19050</xdr:colOff>
      <xdr:row>10</xdr:row>
      <xdr:rowOff>190500</xdr:rowOff>
    </xdr:to>
    <xdr:sp macro="" textlink="">
      <xdr:nvSpPr>
        <xdr:cNvPr id="316682" name="Rectangle 27"/>
        <xdr:cNvSpPr>
          <a:spLocks noChangeArrowheads="1"/>
        </xdr:cNvSpPr>
      </xdr:nvSpPr>
      <xdr:spPr bwMode="auto">
        <a:xfrm>
          <a:off x="76609575" y="2571750"/>
          <a:ext cx="190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0</xdr:colOff>
      <xdr:row>10</xdr:row>
      <xdr:rowOff>0</xdr:rowOff>
    </xdr:from>
    <xdr:to>
      <xdr:col>105</xdr:col>
      <xdr:colOff>19050</xdr:colOff>
      <xdr:row>10</xdr:row>
      <xdr:rowOff>190500</xdr:rowOff>
    </xdr:to>
    <xdr:sp macro="" textlink="">
      <xdr:nvSpPr>
        <xdr:cNvPr id="316683" name="Rectangle 28"/>
        <xdr:cNvSpPr>
          <a:spLocks noChangeArrowheads="1"/>
        </xdr:cNvSpPr>
      </xdr:nvSpPr>
      <xdr:spPr bwMode="auto">
        <a:xfrm>
          <a:off x="76609575" y="2571750"/>
          <a:ext cx="190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0</xdr:colOff>
      <xdr:row>10</xdr:row>
      <xdr:rowOff>0</xdr:rowOff>
    </xdr:from>
    <xdr:to>
      <xdr:col>105</xdr:col>
      <xdr:colOff>19050</xdr:colOff>
      <xdr:row>10</xdr:row>
      <xdr:rowOff>190500</xdr:rowOff>
    </xdr:to>
    <xdr:sp macro="" textlink="">
      <xdr:nvSpPr>
        <xdr:cNvPr id="316684" name="Rectangle 27"/>
        <xdr:cNvSpPr>
          <a:spLocks noChangeArrowheads="1"/>
        </xdr:cNvSpPr>
      </xdr:nvSpPr>
      <xdr:spPr bwMode="auto">
        <a:xfrm>
          <a:off x="76609575" y="2571750"/>
          <a:ext cx="190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0</xdr:colOff>
      <xdr:row>10</xdr:row>
      <xdr:rowOff>0</xdr:rowOff>
    </xdr:from>
    <xdr:to>
      <xdr:col>105</xdr:col>
      <xdr:colOff>19050</xdr:colOff>
      <xdr:row>10</xdr:row>
      <xdr:rowOff>190500</xdr:rowOff>
    </xdr:to>
    <xdr:sp macro="" textlink="">
      <xdr:nvSpPr>
        <xdr:cNvPr id="316685" name="Rectangle 28"/>
        <xdr:cNvSpPr>
          <a:spLocks noChangeArrowheads="1"/>
        </xdr:cNvSpPr>
      </xdr:nvSpPr>
      <xdr:spPr bwMode="auto">
        <a:xfrm>
          <a:off x="76609575" y="2571750"/>
          <a:ext cx="190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0</xdr:colOff>
      <xdr:row>10</xdr:row>
      <xdr:rowOff>0</xdr:rowOff>
    </xdr:from>
    <xdr:to>
      <xdr:col>105</xdr:col>
      <xdr:colOff>19050</xdr:colOff>
      <xdr:row>10</xdr:row>
      <xdr:rowOff>190500</xdr:rowOff>
    </xdr:to>
    <xdr:sp macro="" textlink="">
      <xdr:nvSpPr>
        <xdr:cNvPr id="316686" name="Rectangle 27"/>
        <xdr:cNvSpPr>
          <a:spLocks noChangeArrowheads="1"/>
        </xdr:cNvSpPr>
      </xdr:nvSpPr>
      <xdr:spPr bwMode="auto">
        <a:xfrm>
          <a:off x="76609575" y="2571750"/>
          <a:ext cx="190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0</xdr:colOff>
      <xdr:row>10</xdr:row>
      <xdr:rowOff>0</xdr:rowOff>
    </xdr:from>
    <xdr:to>
      <xdr:col>105</xdr:col>
      <xdr:colOff>19050</xdr:colOff>
      <xdr:row>10</xdr:row>
      <xdr:rowOff>142875</xdr:rowOff>
    </xdr:to>
    <xdr:sp macro="" textlink="">
      <xdr:nvSpPr>
        <xdr:cNvPr id="316687" name="Rectangle 27"/>
        <xdr:cNvSpPr>
          <a:spLocks noChangeArrowheads="1"/>
        </xdr:cNvSpPr>
      </xdr:nvSpPr>
      <xdr:spPr bwMode="auto">
        <a:xfrm>
          <a:off x="76609575" y="2571750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0</xdr:colOff>
      <xdr:row>10</xdr:row>
      <xdr:rowOff>0</xdr:rowOff>
    </xdr:from>
    <xdr:to>
      <xdr:col>105</xdr:col>
      <xdr:colOff>19050</xdr:colOff>
      <xdr:row>10</xdr:row>
      <xdr:rowOff>142875</xdr:rowOff>
    </xdr:to>
    <xdr:sp macro="" textlink="">
      <xdr:nvSpPr>
        <xdr:cNvPr id="316688" name="Rectangle 28"/>
        <xdr:cNvSpPr>
          <a:spLocks noChangeArrowheads="1"/>
        </xdr:cNvSpPr>
      </xdr:nvSpPr>
      <xdr:spPr bwMode="auto">
        <a:xfrm>
          <a:off x="76609575" y="2571750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0</xdr:colOff>
      <xdr:row>10</xdr:row>
      <xdr:rowOff>0</xdr:rowOff>
    </xdr:from>
    <xdr:to>
      <xdr:col>105</xdr:col>
      <xdr:colOff>19050</xdr:colOff>
      <xdr:row>10</xdr:row>
      <xdr:rowOff>142875</xdr:rowOff>
    </xdr:to>
    <xdr:sp macro="" textlink="">
      <xdr:nvSpPr>
        <xdr:cNvPr id="316689" name="Rectangle 28"/>
        <xdr:cNvSpPr>
          <a:spLocks noChangeArrowheads="1"/>
        </xdr:cNvSpPr>
      </xdr:nvSpPr>
      <xdr:spPr bwMode="auto">
        <a:xfrm>
          <a:off x="76609575" y="2571750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0</xdr:colOff>
      <xdr:row>10</xdr:row>
      <xdr:rowOff>0</xdr:rowOff>
    </xdr:from>
    <xdr:to>
      <xdr:col>105</xdr:col>
      <xdr:colOff>19050</xdr:colOff>
      <xdr:row>10</xdr:row>
      <xdr:rowOff>142875</xdr:rowOff>
    </xdr:to>
    <xdr:sp macro="" textlink="">
      <xdr:nvSpPr>
        <xdr:cNvPr id="316690" name="Rectangle 28"/>
        <xdr:cNvSpPr>
          <a:spLocks noChangeArrowheads="1"/>
        </xdr:cNvSpPr>
      </xdr:nvSpPr>
      <xdr:spPr bwMode="auto">
        <a:xfrm>
          <a:off x="76609575" y="2571750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0</xdr:colOff>
      <xdr:row>10</xdr:row>
      <xdr:rowOff>0</xdr:rowOff>
    </xdr:from>
    <xdr:to>
      <xdr:col>105</xdr:col>
      <xdr:colOff>19050</xdr:colOff>
      <xdr:row>10</xdr:row>
      <xdr:rowOff>142875</xdr:rowOff>
    </xdr:to>
    <xdr:sp macro="" textlink="">
      <xdr:nvSpPr>
        <xdr:cNvPr id="316691" name="Rectangle 27"/>
        <xdr:cNvSpPr>
          <a:spLocks noChangeArrowheads="1"/>
        </xdr:cNvSpPr>
      </xdr:nvSpPr>
      <xdr:spPr bwMode="auto">
        <a:xfrm>
          <a:off x="76609575" y="2571750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0</xdr:colOff>
      <xdr:row>10</xdr:row>
      <xdr:rowOff>0</xdr:rowOff>
    </xdr:from>
    <xdr:to>
      <xdr:col>105</xdr:col>
      <xdr:colOff>19050</xdr:colOff>
      <xdr:row>10</xdr:row>
      <xdr:rowOff>142875</xdr:rowOff>
    </xdr:to>
    <xdr:sp macro="" textlink="">
      <xdr:nvSpPr>
        <xdr:cNvPr id="316692" name="Rectangle 28"/>
        <xdr:cNvSpPr>
          <a:spLocks noChangeArrowheads="1"/>
        </xdr:cNvSpPr>
      </xdr:nvSpPr>
      <xdr:spPr bwMode="auto">
        <a:xfrm>
          <a:off x="76609575" y="2571750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0</xdr:colOff>
      <xdr:row>10</xdr:row>
      <xdr:rowOff>0</xdr:rowOff>
    </xdr:from>
    <xdr:to>
      <xdr:col>105</xdr:col>
      <xdr:colOff>19050</xdr:colOff>
      <xdr:row>10</xdr:row>
      <xdr:rowOff>142875</xdr:rowOff>
    </xdr:to>
    <xdr:sp macro="" textlink="">
      <xdr:nvSpPr>
        <xdr:cNvPr id="316693" name="Rectangle 28"/>
        <xdr:cNvSpPr>
          <a:spLocks noChangeArrowheads="1"/>
        </xdr:cNvSpPr>
      </xdr:nvSpPr>
      <xdr:spPr bwMode="auto">
        <a:xfrm>
          <a:off x="76609575" y="2571750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0</xdr:colOff>
      <xdr:row>10</xdr:row>
      <xdr:rowOff>0</xdr:rowOff>
    </xdr:from>
    <xdr:to>
      <xdr:col>105</xdr:col>
      <xdr:colOff>19050</xdr:colOff>
      <xdr:row>10</xdr:row>
      <xdr:rowOff>142875</xdr:rowOff>
    </xdr:to>
    <xdr:sp macro="" textlink="">
      <xdr:nvSpPr>
        <xdr:cNvPr id="316694" name="Rectangle 28"/>
        <xdr:cNvSpPr>
          <a:spLocks noChangeArrowheads="1"/>
        </xdr:cNvSpPr>
      </xdr:nvSpPr>
      <xdr:spPr bwMode="auto">
        <a:xfrm>
          <a:off x="76609575" y="2571750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0</xdr:colOff>
      <xdr:row>10</xdr:row>
      <xdr:rowOff>0</xdr:rowOff>
    </xdr:from>
    <xdr:to>
      <xdr:col>105</xdr:col>
      <xdr:colOff>19050</xdr:colOff>
      <xdr:row>10</xdr:row>
      <xdr:rowOff>142875</xdr:rowOff>
    </xdr:to>
    <xdr:sp macro="" textlink="">
      <xdr:nvSpPr>
        <xdr:cNvPr id="316695" name="Rectangle 28"/>
        <xdr:cNvSpPr>
          <a:spLocks noChangeArrowheads="1"/>
        </xdr:cNvSpPr>
      </xdr:nvSpPr>
      <xdr:spPr bwMode="auto">
        <a:xfrm>
          <a:off x="76609575" y="2571750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0</xdr:colOff>
      <xdr:row>10</xdr:row>
      <xdr:rowOff>0</xdr:rowOff>
    </xdr:from>
    <xdr:to>
      <xdr:col>105</xdr:col>
      <xdr:colOff>19050</xdr:colOff>
      <xdr:row>10</xdr:row>
      <xdr:rowOff>142875</xdr:rowOff>
    </xdr:to>
    <xdr:sp macro="" textlink="">
      <xdr:nvSpPr>
        <xdr:cNvPr id="316696" name="Rectangle 27"/>
        <xdr:cNvSpPr>
          <a:spLocks noChangeArrowheads="1"/>
        </xdr:cNvSpPr>
      </xdr:nvSpPr>
      <xdr:spPr bwMode="auto">
        <a:xfrm>
          <a:off x="76609575" y="2571750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0</xdr:colOff>
      <xdr:row>10</xdr:row>
      <xdr:rowOff>0</xdr:rowOff>
    </xdr:from>
    <xdr:to>
      <xdr:col>105</xdr:col>
      <xdr:colOff>19050</xdr:colOff>
      <xdr:row>10</xdr:row>
      <xdr:rowOff>142875</xdr:rowOff>
    </xdr:to>
    <xdr:sp macro="" textlink="">
      <xdr:nvSpPr>
        <xdr:cNvPr id="316697" name="Rectangle 28"/>
        <xdr:cNvSpPr>
          <a:spLocks noChangeArrowheads="1"/>
        </xdr:cNvSpPr>
      </xdr:nvSpPr>
      <xdr:spPr bwMode="auto">
        <a:xfrm>
          <a:off x="76609575" y="2571750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0</xdr:colOff>
      <xdr:row>10</xdr:row>
      <xdr:rowOff>0</xdr:rowOff>
    </xdr:from>
    <xdr:to>
      <xdr:col>105</xdr:col>
      <xdr:colOff>19050</xdr:colOff>
      <xdr:row>10</xdr:row>
      <xdr:rowOff>142875</xdr:rowOff>
    </xdr:to>
    <xdr:sp macro="" textlink="">
      <xdr:nvSpPr>
        <xdr:cNvPr id="316698" name="Rectangle 27"/>
        <xdr:cNvSpPr>
          <a:spLocks noChangeArrowheads="1"/>
        </xdr:cNvSpPr>
      </xdr:nvSpPr>
      <xdr:spPr bwMode="auto">
        <a:xfrm>
          <a:off x="76609575" y="2571750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0</xdr:colOff>
      <xdr:row>10</xdr:row>
      <xdr:rowOff>0</xdr:rowOff>
    </xdr:from>
    <xdr:to>
      <xdr:col>105</xdr:col>
      <xdr:colOff>19050</xdr:colOff>
      <xdr:row>10</xdr:row>
      <xdr:rowOff>142875</xdr:rowOff>
    </xdr:to>
    <xdr:sp macro="" textlink="">
      <xdr:nvSpPr>
        <xdr:cNvPr id="316699" name="Rectangle 27"/>
        <xdr:cNvSpPr>
          <a:spLocks noChangeArrowheads="1"/>
        </xdr:cNvSpPr>
      </xdr:nvSpPr>
      <xdr:spPr bwMode="auto">
        <a:xfrm>
          <a:off x="76609575" y="2571750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0</xdr:colOff>
      <xdr:row>10</xdr:row>
      <xdr:rowOff>0</xdr:rowOff>
    </xdr:from>
    <xdr:to>
      <xdr:col>105</xdr:col>
      <xdr:colOff>19050</xdr:colOff>
      <xdr:row>10</xdr:row>
      <xdr:rowOff>142875</xdr:rowOff>
    </xdr:to>
    <xdr:sp macro="" textlink="">
      <xdr:nvSpPr>
        <xdr:cNvPr id="316700" name="Rectangle 28"/>
        <xdr:cNvSpPr>
          <a:spLocks noChangeArrowheads="1"/>
        </xdr:cNvSpPr>
      </xdr:nvSpPr>
      <xdr:spPr bwMode="auto">
        <a:xfrm>
          <a:off x="76609575" y="2571750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0</xdr:colOff>
      <xdr:row>10</xdr:row>
      <xdr:rowOff>0</xdr:rowOff>
    </xdr:from>
    <xdr:to>
      <xdr:col>105</xdr:col>
      <xdr:colOff>19050</xdr:colOff>
      <xdr:row>10</xdr:row>
      <xdr:rowOff>142875</xdr:rowOff>
    </xdr:to>
    <xdr:sp macro="" textlink="">
      <xdr:nvSpPr>
        <xdr:cNvPr id="316701" name="Rectangle 27"/>
        <xdr:cNvSpPr>
          <a:spLocks noChangeArrowheads="1"/>
        </xdr:cNvSpPr>
      </xdr:nvSpPr>
      <xdr:spPr bwMode="auto">
        <a:xfrm>
          <a:off x="76609575" y="2571750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0</xdr:colOff>
      <xdr:row>10</xdr:row>
      <xdr:rowOff>0</xdr:rowOff>
    </xdr:from>
    <xdr:to>
      <xdr:col>105</xdr:col>
      <xdr:colOff>19050</xdr:colOff>
      <xdr:row>10</xdr:row>
      <xdr:rowOff>190500</xdr:rowOff>
    </xdr:to>
    <xdr:sp macro="" textlink="">
      <xdr:nvSpPr>
        <xdr:cNvPr id="316702" name="Rectangle 27"/>
        <xdr:cNvSpPr>
          <a:spLocks noChangeArrowheads="1"/>
        </xdr:cNvSpPr>
      </xdr:nvSpPr>
      <xdr:spPr bwMode="auto">
        <a:xfrm>
          <a:off x="76609575" y="2571750"/>
          <a:ext cx="190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0</xdr:colOff>
      <xdr:row>10</xdr:row>
      <xdr:rowOff>0</xdr:rowOff>
    </xdr:from>
    <xdr:to>
      <xdr:col>105</xdr:col>
      <xdr:colOff>19050</xdr:colOff>
      <xdr:row>10</xdr:row>
      <xdr:rowOff>190500</xdr:rowOff>
    </xdr:to>
    <xdr:sp macro="" textlink="">
      <xdr:nvSpPr>
        <xdr:cNvPr id="316703" name="Rectangle 28"/>
        <xdr:cNvSpPr>
          <a:spLocks noChangeArrowheads="1"/>
        </xdr:cNvSpPr>
      </xdr:nvSpPr>
      <xdr:spPr bwMode="auto">
        <a:xfrm>
          <a:off x="76609575" y="2571750"/>
          <a:ext cx="190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0</xdr:colOff>
      <xdr:row>10</xdr:row>
      <xdr:rowOff>0</xdr:rowOff>
    </xdr:from>
    <xdr:to>
      <xdr:col>105</xdr:col>
      <xdr:colOff>19050</xdr:colOff>
      <xdr:row>10</xdr:row>
      <xdr:rowOff>190500</xdr:rowOff>
    </xdr:to>
    <xdr:sp macro="" textlink="">
      <xdr:nvSpPr>
        <xdr:cNvPr id="316704" name="Rectangle 28"/>
        <xdr:cNvSpPr>
          <a:spLocks noChangeArrowheads="1"/>
        </xdr:cNvSpPr>
      </xdr:nvSpPr>
      <xdr:spPr bwMode="auto">
        <a:xfrm>
          <a:off x="76609575" y="2571750"/>
          <a:ext cx="190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0</xdr:colOff>
      <xdr:row>10</xdr:row>
      <xdr:rowOff>0</xdr:rowOff>
    </xdr:from>
    <xdr:to>
      <xdr:col>105</xdr:col>
      <xdr:colOff>19050</xdr:colOff>
      <xdr:row>10</xdr:row>
      <xdr:rowOff>190500</xdr:rowOff>
    </xdr:to>
    <xdr:sp macro="" textlink="">
      <xdr:nvSpPr>
        <xdr:cNvPr id="316705" name="Rectangle 28"/>
        <xdr:cNvSpPr>
          <a:spLocks noChangeArrowheads="1"/>
        </xdr:cNvSpPr>
      </xdr:nvSpPr>
      <xdr:spPr bwMode="auto">
        <a:xfrm>
          <a:off x="76609575" y="2571750"/>
          <a:ext cx="190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0</xdr:colOff>
      <xdr:row>10</xdr:row>
      <xdr:rowOff>0</xdr:rowOff>
    </xdr:from>
    <xdr:to>
      <xdr:col>105</xdr:col>
      <xdr:colOff>19050</xdr:colOff>
      <xdr:row>10</xdr:row>
      <xdr:rowOff>190500</xdr:rowOff>
    </xdr:to>
    <xdr:sp macro="" textlink="">
      <xdr:nvSpPr>
        <xdr:cNvPr id="316706" name="Rectangle 28"/>
        <xdr:cNvSpPr>
          <a:spLocks noChangeArrowheads="1"/>
        </xdr:cNvSpPr>
      </xdr:nvSpPr>
      <xdr:spPr bwMode="auto">
        <a:xfrm>
          <a:off x="76609575" y="2571750"/>
          <a:ext cx="190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0</xdr:colOff>
      <xdr:row>10</xdr:row>
      <xdr:rowOff>0</xdr:rowOff>
    </xdr:from>
    <xdr:to>
      <xdr:col>105</xdr:col>
      <xdr:colOff>19050</xdr:colOff>
      <xdr:row>10</xdr:row>
      <xdr:rowOff>190500</xdr:rowOff>
    </xdr:to>
    <xdr:sp macro="" textlink="">
      <xdr:nvSpPr>
        <xdr:cNvPr id="316707" name="Rectangle 27"/>
        <xdr:cNvSpPr>
          <a:spLocks noChangeArrowheads="1"/>
        </xdr:cNvSpPr>
      </xdr:nvSpPr>
      <xdr:spPr bwMode="auto">
        <a:xfrm>
          <a:off x="76609575" y="2571750"/>
          <a:ext cx="190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0</xdr:colOff>
      <xdr:row>10</xdr:row>
      <xdr:rowOff>0</xdr:rowOff>
    </xdr:from>
    <xdr:to>
      <xdr:col>105</xdr:col>
      <xdr:colOff>19050</xdr:colOff>
      <xdr:row>10</xdr:row>
      <xdr:rowOff>190500</xdr:rowOff>
    </xdr:to>
    <xdr:sp macro="" textlink="">
      <xdr:nvSpPr>
        <xdr:cNvPr id="316708" name="Rectangle 28"/>
        <xdr:cNvSpPr>
          <a:spLocks noChangeArrowheads="1"/>
        </xdr:cNvSpPr>
      </xdr:nvSpPr>
      <xdr:spPr bwMode="auto">
        <a:xfrm>
          <a:off x="76609575" y="2571750"/>
          <a:ext cx="190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0</xdr:colOff>
      <xdr:row>10</xdr:row>
      <xdr:rowOff>0</xdr:rowOff>
    </xdr:from>
    <xdr:to>
      <xdr:col>105</xdr:col>
      <xdr:colOff>19050</xdr:colOff>
      <xdr:row>10</xdr:row>
      <xdr:rowOff>190500</xdr:rowOff>
    </xdr:to>
    <xdr:sp macro="" textlink="">
      <xdr:nvSpPr>
        <xdr:cNvPr id="316709" name="Rectangle 27"/>
        <xdr:cNvSpPr>
          <a:spLocks noChangeArrowheads="1"/>
        </xdr:cNvSpPr>
      </xdr:nvSpPr>
      <xdr:spPr bwMode="auto">
        <a:xfrm>
          <a:off x="76609575" y="2571750"/>
          <a:ext cx="190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0</xdr:colOff>
      <xdr:row>10</xdr:row>
      <xdr:rowOff>0</xdr:rowOff>
    </xdr:from>
    <xdr:to>
      <xdr:col>105</xdr:col>
      <xdr:colOff>19050</xdr:colOff>
      <xdr:row>10</xdr:row>
      <xdr:rowOff>190500</xdr:rowOff>
    </xdr:to>
    <xdr:sp macro="" textlink="">
      <xdr:nvSpPr>
        <xdr:cNvPr id="316710" name="Rectangle 28"/>
        <xdr:cNvSpPr>
          <a:spLocks noChangeArrowheads="1"/>
        </xdr:cNvSpPr>
      </xdr:nvSpPr>
      <xdr:spPr bwMode="auto">
        <a:xfrm>
          <a:off x="76609575" y="2571750"/>
          <a:ext cx="190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0</xdr:colOff>
      <xdr:row>10</xdr:row>
      <xdr:rowOff>0</xdr:rowOff>
    </xdr:from>
    <xdr:to>
      <xdr:col>105</xdr:col>
      <xdr:colOff>19050</xdr:colOff>
      <xdr:row>10</xdr:row>
      <xdr:rowOff>190500</xdr:rowOff>
    </xdr:to>
    <xdr:sp macro="" textlink="">
      <xdr:nvSpPr>
        <xdr:cNvPr id="316711" name="Rectangle 28"/>
        <xdr:cNvSpPr>
          <a:spLocks noChangeArrowheads="1"/>
        </xdr:cNvSpPr>
      </xdr:nvSpPr>
      <xdr:spPr bwMode="auto">
        <a:xfrm>
          <a:off x="76609575" y="2571750"/>
          <a:ext cx="190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0</xdr:colOff>
      <xdr:row>10</xdr:row>
      <xdr:rowOff>0</xdr:rowOff>
    </xdr:from>
    <xdr:to>
      <xdr:col>105</xdr:col>
      <xdr:colOff>19050</xdr:colOff>
      <xdr:row>10</xdr:row>
      <xdr:rowOff>190500</xdr:rowOff>
    </xdr:to>
    <xdr:sp macro="" textlink="">
      <xdr:nvSpPr>
        <xdr:cNvPr id="316712" name="Rectangle 28"/>
        <xdr:cNvSpPr>
          <a:spLocks noChangeArrowheads="1"/>
        </xdr:cNvSpPr>
      </xdr:nvSpPr>
      <xdr:spPr bwMode="auto">
        <a:xfrm>
          <a:off x="76609575" y="2571750"/>
          <a:ext cx="190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0</xdr:colOff>
      <xdr:row>10</xdr:row>
      <xdr:rowOff>0</xdr:rowOff>
    </xdr:from>
    <xdr:to>
      <xdr:col>105</xdr:col>
      <xdr:colOff>19050</xdr:colOff>
      <xdr:row>10</xdr:row>
      <xdr:rowOff>190500</xdr:rowOff>
    </xdr:to>
    <xdr:sp macro="" textlink="">
      <xdr:nvSpPr>
        <xdr:cNvPr id="316713" name="Rectangle 28"/>
        <xdr:cNvSpPr>
          <a:spLocks noChangeArrowheads="1"/>
        </xdr:cNvSpPr>
      </xdr:nvSpPr>
      <xdr:spPr bwMode="auto">
        <a:xfrm>
          <a:off x="76609575" y="2571750"/>
          <a:ext cx="190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0</xdr:colOff>
      <xdr:row>10</xdr:row>
      <xdr:rowOff>0</xdr:rowOff>
    </xdr:from>
    <xdr:to>
      <xdr:col>105</xdr:col>
      <xdr:colOff>19050</xdr:colOff>
      <xdr:row>10</xdr:row>
      <xdr:rowOff>190500</xdr:rowOff>
    </xdr:to>
    <xdr:sp macro="" textlink="">
      <xdr:nvSpPr>
        <xdr:cNvPr id="316714" name="Rectangle 27"/>
        <xdr:cNvSpPr>
          <a:spLocks noChangeArrowheads="1"/>
        </xdr:cNvSpPr>
      </xdr:nvSpPr>
      <xdr:spPr bwMode="auto">
        <a:xfrm>
          <a:off x="76609575" y="2571750"/>
          <a:ext cx="190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0</xdr:colOff>
      <xdr:row>10</xdr:row>
      <xdr:rowOff>0</xdr:rowOff>
    </xdr:from>
    <xdr:to>
      <xdr:col>105</xdr:col>
      <xdr:colOff>19050</xdr:colOff>
      <xdr:row>10</xdr:row>
      <xdr:rowOff>190500</xdr:rowOff>
    </xdr:to>
    <xdr:sp macro="" textlink="">
      <xdr:nvSpPr>
        <xdr:cNvPr id="316715" name="Rectangle 28"/>
        <xdr:cNvSpPr>
          <a:spLocks noChangeArrowheads="1"/>
        </xdr:cNvSpPr>
      </xdr:nvSpPr>
      <xdr:spPr bwMode="auto">
        <a:xfrm>
          <a:off x="76609575" y="2571750"/>
          <a:ext cx="190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0</xdr:colOff>
      <xdr:row>10</xdr:row>
      <xdr:rowOff>0</xdr:rowOff>
    </xdr:from>
    <xdr:to>
      <xdr:col>105</xdr:col>
      <xdr:colOff>19050</xdr:colOff>
      <xdr:row>10</xdr:row>
      <xdr:rowOff>190500</xdr:rowOff>
    </xdr:to>
    <xdr:sp macro="" textlink="">
      <xdr:nvSpPr>
        <xdr:cNvPr id="316716" name="Rectangle 28"/>
        <xdr:cNvSpPr>
          <a:spLocks noChangeArrowheads="1"/>
        </xdr:cNvSpPr>
      </xdr:nvSpPr>
      <xdr:spPr bwMode="auto">
        <a:xfrm>
          <a:off x="76609575" y="2571750"/>
          <a:ext cx="190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0</xdr:colOff>
      <xdr:row>10</xdr:row>
      <xdr:rowOff>0</xdr:rowOff>
    </xdr:from>
    <xdr:to>
      <xdr:col>105</xdr:col>
      <xdr:colOff>19050</xdr:colOff>
      <xdr:row>10</xdr:row>
      <xdr:rowOff>190500</xdr:rowOff>
    </xdr:to>
    <xdr:sp macro="" textlink="">
      <xdr:nvSpPr>
        <xdr:cNvPr id="316717" name="Rectangle 28"/>
        <xdr:cNvSpPr>
          <a:spLocks noChangeArrowheads="1"/>
        </xdr:cNvSpPr>
      </xdr:nvSpPr>
      <xdr:spPr bwMode="auto">
        <a:xfrm>
          <a:off x="76609575" y="2571750"/>
          <a:ext cx="190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0</xdr:colOff>
      <xdr:row>10</xdr:row>
      <xdr:rowOff>0</xdr:rowOff>
    </xdr:from>
    <xdr:to>
      <xdr:col>105</xdr:col>
      <xdr:colOff>19050</xdr:colOff>
      <xdr:row>10</xdr:row>
      <xdr:rowOff>190500</xdr:rowOff>
    </xdr:to>
    <xdr:sp macro="" textlink="">
      <xdr:nvSpPr>
        <xdr:cNvPr id="316718" name="Rectangle 27"/>
        <xdr:cNvSpPr>
          <a:spLocks noChangeArrowheads="1"/>
        </xdr:cNvSpPr>
      </xdr:nvSpPr>
      <xdr:spPr bwMode="auto">
        <a:xfrm>
          <a:off x="76609575" y="2571750"/>
          <a:ext cx="190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0</xdr:colOff>
      <xdr:row>10</xdr:row>
      <xdr:rowOff>0</xdr:rowOff>
    </xdr:from>
    <xdr:to>
      <xdr:col>105</xdr:col>
      <xdr:colOff>19050</xdr:colOff>
      <xdr:row>10</xdr:row>
      <xdr:rowOff>190500</xdr:rowOff>
    </xdr:to>
    <xdr:sp macro="" textlink="">
      <xdr:nvSpPr>
        <xdr:cNvPr id="316719" name="Rectangle 28"/>
        <xdr:cNvSpPr>
          <a:spLocks noChangeArrowheads="1"/>
        </xdr:cNvSpPr>
      </xdr:nvSpPr>
      <xdr:spPr bwMode="auto">
        <a:xfrm>
          <a:off x="76609575" y="2571750"/>
          <a:ext cx="190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0</xdr:colOff>
      <xdr:row>10</xdr:row>
      <xdr:rowOff>0</xdr:rowOff>
    </xdr:from>
    <xdr:to>
      <xdr:col>105</xdr:col>
      <xdr:colOff>19050</xdr:colOff>
      <xdr:row>10</xdr:row>
      <xdr:rowOff>190500</xdr:rowOff>
    </xdr:to>
    <xdr:sp macro="" textlink="">
      <xdr:nvSpPr>
        <xdr:cNvPr id="316720" name="Rectangle 28"/>
        <xdr:cNvSpPr>
          <a:spLocks noChangeArrowheads="1"/>
        </xdr:cNvSpPr>
      </xdr:nvSpPr>
      <xdr:spPr bwMode="auto">
        <a:xfrm>
          <a:off x="76609575" y="2571750"/>
          <a:ext cx="190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0</xdr:colOff>
      <xdr:row>10</xdr:row>
      <xdr:rowOff>0</xdr:rowOff>
    </xdr:from>
    <xdr:to>
      <xdr:col>105</xdr:col>
      <xdr:colOff>19050</xdr:colOff>
      <xdr:row>10</xdr:row>
      <xdr:rowOff>190500</xdr:rowOff>
    </xdr:to>
    <xdr:sp macro="" textlink="">
      <xdr:nvSpPr>
        <xdr:cNvPr id="316721" name="Rectangle 27"/>
        <xdr:cNvSpPr>
          <a:spLocks noChangeArrowheads="1"/>
        </xdr:cNvSpPr>
      </xdr:nvSpPr>
      <xdr:spPr bwMode="auto">
        <a:xfrm>
          <a:off x="76609575" y="2571750"/>
          <a:ext cx="190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0</xdr:colOff>
      <xdr:row>10</xdr:row>
      <xdr:rowOff>0</xdr:rowOff>
    </xdr:from>
    <xdr:to>
      <xdr:col>105</xdr:col>
      <xdr:colOff>19050</xdr:colOff>
      <xdr:row>10</xdr:row>
      <xdr:rowOff>190500</xdr:rowOff>
    </xdr:to>
    <xdr:sp macro="" textlink="">
      <xdr:nvSpPr>
        <xdr:cNvPr id="316722" name="Rectangle 28"/>
        <xdr:cNvSpPr>
          <a:spLocks noChangeArrowheads="1"/>
        </xdr:cNvSpPr>
      </xdr:nvSpPr>
      <xdr:spPr bwMode="auto">
        <a:xfrm>
          <a:off x="76609575" y="2571750"/>
          <a:ext cx="190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0</xdr:colOff>
      <xdr:row>10</xdr:row>
      <xdr:rowOff>0</xdr:rowOff>
    </xdr:from>
    <xdr:to>
      <xdr:col>105</xdr:col>
      <xdr:colOff>19050</xdr:colOff>
      <xdr:row>10</xdr:row>
      <xdr:rowOff>190500</xdr:rowOff>
    </xdr:to>
    <xdr:sp macro="" textlink="">
      <xdr:nvSpPr>
        <xdr:cNvPr id="316723" name="Rectangle 28"/>
        <xdr:cNvSpPr>
          <a:spLocks noChangeArrowheads="1"/>
        </xdr:cNvSpPr>
      </xdr:nvSpPr>
      <xdr:spPr bwMode="auto">
        <a:xfrm>
          <a:off x="76609575" y="2571750"/>
          <a:ext cx="190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0</xdr:colOff>
      <xdr:row>10</xdr:row>
      <xdr:rowOff>0</xdr:rowOff>
    </xdr:from>
    <xdr:to>
      <xdr:col>105</xdr:col>
      <xdr:colOff>19050</xdr:colOff>
      <xdr:row>10</xdr:row>
      <xdr:rowOff>190500</xdr:rowOff>
    </xdr:to>
    <xdr:sp macro="" textlink="">
      <xdr:nvSpPr>
        <xdr:cNvPr id="316724" name="Rectangle 27"/>
        <xdr:cNvSpPr>
          <a:spLocks noChangeArrowheads="1"/>
        </xdr:cNvSpPr>
      </xdr:nvSpPr>
      <xdr:spPr bwMode="auto">
        <a:xfrm>
          <a:off x="76609575" y="2571750"/>
          <a:ext cx="190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0</xdr:colOff>
      <xdr:row>10</xdr:row>
      <xdr:rowOff>0</xdr:rowOff>
    </xdr:from>
    <xdr:to>
      <xdr:col>105</xdr:col>
      <xdr:colOff>19050</xdr:colOff>
      <xdr:row>10</xdr:row>
      <xdr:rowOff>190500</xdr:rowOff>
    </xdr:to>
    <xdr:sp macro="" textlink="">
      <xdr:nvSpPr>
        <xdr:cNvPr id="316725" name="Rectangle 28"/>
        <xdr:cNvSpPr>
          <a:spLocks noChangeArrowheads="1"/>
        </xdr:cNvSpPr>
      </xdr:nvSpPr>
      <xdr:spPr bwMode="auto">
        <a:xfrm>
          <a:off x="76609575" y="2571750"/>
          <a:ext cx="190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0</xdr:colOff>
      <xdr:row>10</xdr:row>
      <xdr:rowOff>0</xdr:rowOff>
    </xdr:from>
    <xdr:to>
      <xdr:col>105</xdr:col>
      <xdr:colOff>19050</xdr:colOff>
      <xdr:row>10</xdr:row>
      <xdr:rowOff>190500</xdr:rowOff>
    </xdr:to>
    <xdr:sp macro="" textlink="">
      <xdr:nvSpPr>
        <xdr:cNvPr id="316726" name="Rectangle 27"/>
        <xdr:cNvSpPr>
          <a:spLocks noChangeArrowheads="1"/>
        </xdr:cNvSpPr>
      </xdr:nvSpPr>
      <xdr:spPr bwMode="auto">
        <a:xfrm>
          <a:off x="76609575" y="2571750"/>
          <a:ext cx="190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0</xdr:colOff>
      <xdr:row>10</xdr:row>
      <xdr:rowOff>0</xdr:rowOff>
    </xdr:from>
    <xdr:to>
      <xdr:col>105</xdr:col>
      <xdr:colOff>19050</xdr:colOff>
      <xdr:row>10</xdr:row>
      <xdr:rowOff>190500</xdr:rowOff>
    </xdr:to>
    <xdr:sp macro="" textlink="">
      <xdr:nvSpPr>
        <xdr:cNvPr id="316727" name="Rectangle 28"/>
        <xdr:cNvSpPr>
          <a:spLocks noChangeArrowheads="1"/>
        </xdr:cNvSpPr>
      </xdr:nvSpPr>
      <xdr:spPr bwMode="auto">
        <a:xfrm>
          <a:off x="76609575" y="2571750"/>
          <a:ext cx="190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0</xdr:colOff>
      <xdr:row>10</xdr:row>
      <xdr:rowOff>0</xdr:rowOff>
    </xdr:from>
    <xdr:to>
      <xdr:col>105</xdr:col>
      <xdr:colOff>19050</xdr:colOff>
      <xdr:row>10</xdr:row>
      <xdr:rowOff>190500</xdr:rowOff>
    </xdr:to>
    <xdr:sp macro="" textlink="">
      <xdr:nvSpPr>
        <xdr:cNvPr id="316728" name="Rectangle 27"/>
        <xdr:cNvSpPr>
          <a:spLocks noChangeArrowheads="1"/>
        </xdr:cNvSpPr>
      </xdr:nvSpPr>
      <xdr:spPr bwMode="auto">
        <a:xfrm>
          <a:off x="76609575" y="2571750"/>
          <a:ext cx="190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0</xdr:colOff>
      <xdr:row>10</xdr:row>
      <xdr:rowOff>0</xdr:rowOff>
    </xdr:from>
    <xdr:to>
      <xdr:col>105</xdr:col>
      <xdr:colOff>19050</xdr:colOff>
      <xdr:row>10</xdr:row>
      <xdr:rowOff>190500</xdr:rowOff>
    </xdr:to>
    <xdr:sp macro="" textlink="">
      <xdr:nvSpPr>
        <xdr:cNvPr id="316729" name="Rectangle 27"/>
        <xdr:cNvSpPr>
          <a:spLocks noChangeArrowheads="1"/>
        </xdr:cNvSpPr>
      </xdr:nvSpPr>
      <xdr:spPr bwMode="auto">
        <a:xfrm>
          <a:off x="76609575" y="2571750"/>
          <a:ext cx="190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0</xdr:colOff>
      <xdr:row>10</xdr:row>
      <xdr:rowOff>0</xdr:rowOff>
    </xdr:from>
    <xdr:to>
      <xdr:col>105</xdr:col>
      <xdr:colOff>19050</xdr:colOff>
      <xdr:row>10</xdr:row>
      <xdr:rowOff>142875</xdr:rowOff>
    </xdr:to>
    <xdr:sp macro="" textlink="">
      <xdr:nvSpPr>
        <xdr:cNvPr id="316730" name="Rectangle 28"/>
        <xdr:cNvSpPr>
          <a:spLocks noChangeArrowheads="1"/>
        </xdr:cNvSpPr>
      </xdr:nvSpPr>
      <xdr:spPr bwMode="auto">
        <a:xfrm>
          <a:off x="76609575" y="2571750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0</xdr:colOff>
      <xdr:row>10</xdr:row>
      <xdr:rowOff>0</xdr:rowOff>
    </xdr:from>
    <xdr:to>
      <xdr:col>105</xdr:col>
      <xdr:colOff>19050</xdr:colOff>
      <xdr:row>10</xdr:row>
      <xdr:rowOff>142875</xdr:rowOff>
    </xdr:to>
    <xdr:sp macro="" textlink="">
      <xdr:nvSpPr>
        <xdr:cNvPr id="316731" name="Rectangle 28"/>
        <xdr:cNvSpPr>
          <a:spLocks noChangeArrowheads="1"/>
        </xdr:cNvSpPr>
      </xdr:nvSpPr>
      <xdr:spPr bwMode="auto">
        <a:xfrm>
          <a:off x="76609575" y="2571750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0</xdr:colOff>
      <xdr:row>10</xdr:row>
      <xdr:rowOff>0</xdr:rowOff>
    </xdr:from>
    <xdr:to>
      <xdr:col>105</xdr:col>
      <xdr:colOff>19050</xdr:colOff>
      <xdr:row>10</xdr:row>
      <xdr:rowOff>190500</xdr:rowOff>
    </xdr:to>
    <xdr:sp macro="" textlink="">
      <xdr:nvSpPr>
        <xdr:cNvPr id="316732" name="Rectangle 28"/>
        <xdr:cNvSpPr>
          <a:spLocks noChangeArrowheads="1"/>
        </xdr:cNvSpPr>
      </xdr:nvSpPr>
      <xdr:spPr bwMode="auto">
        <a:xfrm>
          <a:off x="76609575" y="2571750"/>
          <a:ext cx="190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1571625</xdr:colOff>
      <xdr:row>20</xdr:row>
      <xdr:rowOff>57150</xdr:rowOff>
    </xdr:from>
    <xdr:to>
      <xdr:col>106</xdr:col>
      <xdr:colOff>171450</xdr:colOff>
      <xdr:row>24</xdr:row>
      <xdr:rowOff>190500</xdr:rowOff>
    </xdr:to>
    <xdr:sp macro="" textlink="">
      <xdr:nvSpPr>
        <xdr:cNvPr id="316733" name="Obdélník 2745"/>
        <xdr:cNvSpPr>
          <a:spLocks noChangeArrowheads="1"/>
        </xdr:cNvSpPr>
      </xdr:nvSpPr>
      <xdr:spPr bwMode="auto">
        <a:xfrm>
          <a:off x="78181200" y="4629150"/>
          <a:ext cx="180975" cy="933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1571625</xdr:colOff>
      <xdr:row>12</xdr:row>
      <xdr:rowOff>190500</xdr:rowOff>
    </xdr:from>
    <xdr:to>
      <xdr:col>106</xdr:col>
      <xdr:colOff>0</xdr:colOff>
      <xdr:row>13</xdr:row>
      <xdr:rowOff>133350</xdr:rowOff>
    </xdr:to>
    <xdr:sp macro="" textlink="">
      <xdr:nvSpPr>
        <xdr:cNvPr id="316734" name="Rectangle 28"/>
        <xdr:cNvSpPr>
          <a:spLocks noChangeArrowheads="1"/>
        </xdr:cNvSpPr>
      </xdr:nvSpPr>
      <xdr:spPr bwMode="auto">
        <a:xfrm>
          <a:off x="78181200" y="31623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1571625</xdr:colOff>
      <xdr:row>7</xdr:row>
      <xdr:rowOff>0</xdr:rowOff>
    </xdr:from>
    <xdr:to>
      <xdr:col>106</xdr:col>
      <xdr:colOff>0</xdr:colOff>
      <xdr:row>7</xdr:row>
      <xdr:rowOff>142875</xdr:rowOff>
    </xdr:to>
    <xdr:sp macro="" textlink="">
      <xdr:nvSpPr>
        <xdr:cNvPr id="316735" name="Rectangle 28"/>
        <xdr:cNvSpPr>
          <a:spLocks noChangeArrowheads="1"/>
        </xdr:cNvSpPr>
      </xdr:nvSpPr>
      <xdr:spPr bwMode="auto">
        <a:xfrm>
          <a:off x="78181200" y="1971675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1571625</xdr:colOff>
      <xdr:row>22</xdr:row>
      <xdr:rowOff>76200</xdr:rowOff>
    </xdr:from>
    <xdr:to>
      <xdr:col>106</xdr:col>
      <xdr:colOff>0</xdr:colOff>
      <xdr:row>23</xdr:row>
      <xdr:rowOff>28575</xdr:rowOff>
    </xdr:to>
    <xdr:sp macro="" textlink="">
      <xdr:nvSpPr>
        <xdr:cNvPr id="316736" name="Rectangle 28"/>
        <xdr:cNvSpPr>
          <a:spLocks noChangeArrowheads="1"/>
        </xdr:cNvSpPr>
      </xdr:nvSpPr>
      <xdr:spPr bwMode="auto">
        <a:xfrm>
          <a:off x="78181200" y="50482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1571625</xdr:colOff>
      <xdr:row>18</xdr:row>
      <xdr:rowOff>142875</xdr:rowOff>
    </xdr:from>
    <xdr:to>
      <xdr:col>106</xdr:col>
      <xdr:colOff>0</xdr:colOff>
      <xdr:row>19</xdr:row>
      <xdr:rowOff>104775</xdr:rowOff>
    </xdr:to>
    <xdr:sp macro="" textlink="">
      <xdr:nvSpPr>
        <xdr:cNvPr id="316737" name="Rectangle 27"/>
        <xdr:cNvSpPr>
          <a:spLocks noChangeArrowheads="1"/>
        </xdr:cNvSpPr>
      </xdr:nvSpPr>
      <xdr:spPr bwMode="auto">
        <a:xfrm>
          <a:off x="78181200" y="43148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1571625</xdr:colOff>
      <xdr:row>17</xdr:row>
      <xdr:rowOff>133350</xdr:rowOff>
    </xdr:from>
    <xdr:to>
      <xdr:col>106</xdr:col>
      <xdr:colOff>0</xdr:colOff>
      <xdr:row>18</xdr:row>
      <xdr:rowOff>76200</xdr:rowOff>
    </xdr:to>
    <xdr:sp macro="" textlink="">
      <xdr:nvSpPr>
        <xdr:cNvPr id="316738" name="Rectangle 28"/>
        <xdr:cNvSpPr>
          <a:spLocks noChangeArrowheads="1"/>
        </xdr:cNvSpPr>
      </xdr:nvSpPr>
      <xdr:spPr bwMode="auto">
        <a:xfrm>
          <a:off x="78181200" y="4105275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1571625</xdr:colOff>
      <xdr:row>36</xdr:row>
      <xdr:rowOff>171450</xdr:rowOff>
    </xdr:from>
    <xdr:to>
      <xdr:col>106</xdr:col>
      <xdr:colOff>0</xdr:colOff>
      <xdr:row>37</xdr:row>
      <xdr:rowOff>123825</xdr:rowOff>
    </xdr:to>
    <xdr:sp macro="" textlink="">
      <xdr:nvSpPr>
        <xdr:cNvPr id="316739" name="Rectangle 27"/>
        <xdr:cNvSpPr>
          <a:spLocks noChangeArrowheads="1"/>
        </xdr:cNvSpPr>
      </xdr:nvSpPr>
      <xdr:spPr bwMode="auto">
        <a:xfrm>
          <a:off x="78181200" y="79438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1571625</xdr:colOff>
      <xdr:row>21</xdr:row>
      <xdr:rowOff>95250</xdr:rowOff>
    </xdr:from>
    <xdr:to>
      <xdr:col>106</xdr:col>
      <xdr:colOff>0</xdr:colOff>
      <xdr:row>22</xdr:row>
      <xdr:rowOff>57150</xdr:rowOff>
    </xdr:to>
    <xdr:sp macro="" textlink="">
      <xdr:nvSpPr>
        <xdr:cNvPr id="316740" name="Rectangle 28"/>
        <xdr:cNvSpPr>
          <a:spLocks noChangeArrowheads="1"/>
        </xdr:cNvSpPr>
      </xdr:nvSpPr>
      <xdr:spPr bwMode="auto">
        <a:xfrm>
          <a:off x="78181200" y="4867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1571625</xdr:colOff>
      <xdr:row>12</xdr:row>
      <xdr:rowOff>9525</xdr:rowOff>
    </xdr:from>
    <xdr:to>
      <xdr:col>106</xdr:col>
      <xdr:colOff>0</xdr:colOff>
      <xdr:row>12</xdr:row>
      <xdr:rowOff>171450</xdr:rowOff>
    </xdr:to>
    <xdr:sp macro="" textlink="">
      <xdr:nvSpPr>
        <xdr:cNvPr id="316741" name="Rectangle 28"/>
        <xdr:cNvSpPr>
          <a:spLocks noChangeArrowheads="1"/>
        </xdr:cNvSpPr>
      </xdr:nvSpPr>
      <xdr:spPr bwMode="auto">
        <a:xfrm>
          <a:off x="78181200" y="29813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1571625</xdr:colOff>
      <xdr:row>8</xdr:row>
      <xdr:rowOff>9525</xdr:rowOff>
    </xdr:from>
    <xdr:to>
      <xdr:col>106</xdr:col>
      <xdr:colOff>0</xdr:colOff>
      <xdr:row>8</xdr:row>
      <xdr:rowOff>171450</xdr:rowOff>
    </xdr:to>
    <xdr:sp macro="" textlink="">
      <xdr:nvSpPr>
        <xdr:cNvPr id="316742" name="Rectangle 28"/>
        <xdr:cNvSpPr>
          <a:spLocks noChangeArrowheads="1"/>
        </xdr:cNvSpPr>
      </xdr:nvSpPr>
      <xdr:spPr bwMode="auto">
        <a:xfrm>
          <a:off x="78181200" y="21812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1571625</xdr:colOff>
      <xdr:row>22</xdr:row>
      <xdr:rowOff>76200</xdr:rowOff>
    </xdr:from>
    <xdr:to>
      <xdr:col>106</xdr:col>
      <xdr:colOff>0</xdr:colOff>
      <xdr:row>23</xdr:row>
      <xdr:rowOff>28575</xdr:rowOff>
    </xdr:to>
    <xdr:sp macro="" textlink="">
      <xdr:nvSpPr>
        <xdr:cNvPr id="316743" name="Rectangle 28"/>
        <xdr:cNvSpPr>
          <a:spLocks noChangeArrowheads="1"/>
        </xdr:cNvSpPr>
      </xdr:nvSpPr>
      <xdr:spPr bwMode="auto">
        <a:xfrm>
          <a:off x="78181200" y="50482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1571625</xdr:colOff>
      <xdr:row>5</xdr:row>
      <xdr:rowOff>95250</xdr:rowOff>
    </xdr:from>
    <xdr:to>
      <xdr:col>106</xdr:col>
      <xdr:colOff>0</xdr:colOff>
      <xdr:row>6</xdr:row>
      <xdr:rowOff>57150</xdr:rowOff>
    </xdr:to>
    <xdr:sp macro="" textlink="">
      <xdr:nvSpPr>
        <xdr:cNvPr id="316744" name="Rectangle 27"/>
        <xdr:cNvSpPr>
          <a:spLocks noChangeArrowheads="1"/>
        </xdr:cNvSpPr>
      </xdr:nvSpPr>
      <xdr:spPr bwMode="auto">
        <a:xfrm>
          <a:off x="78181200" y="16668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1571625</xdr:colOff>
      <xdr:row>27</xdr:row>
      <xdr:rowOff>9525</xdr:rowOff>
    </xdr:from>
    <xdr:to>
      <xdr:col>106</xdr:col>
      <xdr:colOff>0</xdr:colOff>
      <xdr:row>27</xdr:row>
      <xdr:rowOff>161925</xdr:rowOff>
    </xdr:to>
    <xdr:sp macro="" textlink="">
      <xdr:nvSpPr>
        <xdr:cNvPr id="316745" name="Rectangle 27"/>
        <xdr:cNvSpPr>
          <a:spLocks noChangeArrowheads="1"/>
        </xdr:cNvSpPr>
      </xdr:nvSpPr>
      <xdr:spPr bwMode="auto">
        <a:xfrm>
          <a:off x="78181200" y="59817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1571625</xdr:colOff>
      <xdr:row>33</xdr:row>
      <xdr:rowOff>161925</xdr:rowOff>
    </xdr:from>
    <xdr:to>
      <xdr:col>106</xdr:col>
      <xdr:colOff>0</xdr:colOff>
      <xdr:row>34</xdr:row>
      <xdr:rowOff>123825</xdr:rowOff>
    </xdr:to>
    <xdr:sp macro="" textlink="">
      <xdr:nvSpPr>
        <xdr:cNvPr id="316746" name="Rectangle 28"/>
        <xdr:cNvSpPr>
          <a:spLocks noChangeArrowheads="1"/>
        </xdr:cNvSpPr>
      </xdr:nvSpPr>
      <xdr:spPr bwMode="auto">
        <a:xfrm>
          <a:off x="78181200" y="733425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1571625</xdr:colOff>
      <xdr:row>21</xdr:row>
      <xdr:rowOff>95250</xdr:rowOff>
    </xdr:from>
    <xdr:to>
      <xdr:col>106</xdr:col>
      <xdr:colOff>0</xdr:colOff>
      <xdr:row>22</xdr:row>
      <xdr:rowOff>57150</xdr:rowOff>
    </xdr:to>
    <xdr:sp macro="" textlink="">
      <xdr:nvSpPr>
        <xdr:cNvPr id="316747" name="Rectangle 28"/>
        <xdr:cNvSpPr>
          <a:spLocks noChangeArrowheads="1"/>
        </xdr:cNvSpPr>
      </xdr:nvSpPr>
      <xdr:spPr bwMode="auto">
        <a:xfrm>
          <a:off x="78181200" y="4867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1571625</xdr:colOff>
      <xdr:row>15</xdr:row>
      <xdr:rowOff>142875</xdr:rowOff>
    </xdr:from>
    <xdr:to>
      <xdr:col>106</xdr:col>
      <xdr:colOff>0</xdr:colOff>
      <xdr:row>16</xdr:row>
      <xdr:rowOff>95250</xdr:rowOff>
    </xdr:to>
    <xdr:sp macro="" textlink="">
      <xdr:nvSpPr>
        <xdr:cNvPr id="316748" name="Rectangle 28"/>
        <xdr:cNvSpPr>
          <a:spLocks noChangeArrowheads="1"/>
        </xdr:cNvSpPr>
      </xdr:nvSpPr>
      <xdr:spPr bwMode="auto">
        <a:xfrm>
          <a:off x="78181200" y="37147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1571625</xdr:colOff>
      <xdr:row>46</xdr:row>
      <xdr:rowOff>76200</xdr:rowOff>
    </xdr:from>
    <xdr:to>
      <xdr:col>106</xdr:col>
      <xdr:colOff>0</xdr:colOff>
      <xdr:row>47</xdr:row>
      <xdr:rowOff>38100</xdr:rowOff>
    </xdr:to>
    <xdr:sp macro="" textlink="">
      <xdr:nvSpPr>
        <xdr:cNvPr id="316749" name="Rectangle 27"/>
        <xdr:cNvSpPr>
          <a:spLocks noChangeArrowheads="1"/>
        </xdr:cNvSpPr>
      </xdr:nvSpPr>
      <xdr:spPr bwMode="auto">
        <a:xfrm>
          <a:off x="78181200" y="984885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1571625</xdr:colOff>
      <xdr:row>42</xdr:row>
      <xdr:rowOff>123825</xdr:rowOff>
    </xdr:from>
    <xdr:to>
      <xdr:col>106</xdr:col>
      <xdr:colOff>0</xdr:colOff>
      <xdr:row>43</xdr:row>
      <xdr:rowOff>76200</xdr:rowOff>
    </xdr:to>
    <xdr:sp macro="" textlink="">
      <xdr:nvSpPr>
        <xdr:cNvPr id="316750" name="Rectangle 27"/>
        <xdr:cNvSpPr>
          <a:spLocks noChangeArrowheads="1"/>
        </xdr:cNvSpPr>
      </xdr:nvSpPr>
      <xdr:spPr bwMode="auto">
        <a:xfrm>
          <a:off x="78181200" y="90963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1571625</xdr:colOff>
      <xdr:row>43</xdr:row>
      <xdr:rowOff>76200</xdr:rowOff>
    </xdr:from>
    <xdr:to>
      <xdr:col>106</xdr:col>
      <xdr:colOff>0</xdr:colOff>
      <xdr:row>44</xdr:row>
      <xdr:rowOff>28575</xdr:rowOff>
    </xdr:to>
    <xdr:sp macro="" textlink="">
      <xdr:nvSpPr>
        <xdr:cNvPr id="316751" name="Rectangle 28"/>
        <xdr:cNvSpPr>
          <a:spLocks noChangeArrowheads="1"/>
        </xdr:cNvSpPr>
      </xdr:nvSpPr>
      <xdr:spPr bwMode="auto">
        <a:xfrm>
          <a:off x="78181200" y="92487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1571625</xdr:colOff>
      <xdr:row>3</xdr:row>
      <xdr:rowOff>66675</xdr:rowOff>
    </xdr:from>
    <xdr:to>
      <xdr:col>106</xdr:col>
      <xdr:colOff>0</xdr:colOff>
      <xdr:row>4</xdr:row>
      <xdr:rowOff>9525</xdr:rowOff>
    </xdr:to>
    <xdr:sp macro="" textlink="">
      <xdr:nvSpPr>
        <xdr:cNvPr id="316752" name="Rectangle 28"/>
        <xdr:cNvSpPr>
          <a:spLocks noChangeArrowheads="1"/>
        </xdr:cNvSpPr>
      </xdr:nvSpPr>
      <xdr:spPr bwMode="auto">
        <a:xfrm>
          <a:off x="78181200" y="123825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1571625</xdr:colOff>
      <xdr:row>20</xdr:row>
      <xdr:rowOff>57150</xdr:rowOff>
    </xdr:from>
    <xdr:to>
      <xdr:col>106</xdr:col>
      <xdr:colOff>171450</xdr:colOff>
      <xdr:row>24</xdr:row>
      <xdr:rowOff>190500</xdr:rowOff>
    </xdr:to>
    <xdr:sp macro="" textlink="">
      <xdr:nvSpPr>
        <xdr:cNvPr id="316753" name="Obdélník 2765"/>
        <xdr:cNvSpPr>
          <a:spLocks noChangeArrowheads="1"/>
        </xdr:cNvSpPr>
      </xdr:nvSpPr>
      <xdr:spPr bwMode="auto">
        <a:xfrm>
          <a:off x="78181200" y="4629150"/>
          <a:ext cx="180975" cy="933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1571625</xdr:colOff>
      <xdr:row>12</xdr:row>
      <xdr:rowOff>190500</xdr:rowOff>
    </xdr:from>
    <xdr:to>
      <xdr:col>106</xdr:col>
      <xdr:colOff>0</xdr:colOff>
      <xdr:row>13</xdr:row>
      <xdr:rowOff>133350</xdr:rowOff>
    </xdr:to>
    <xdr:sp macro="" textlink="">
      <xdr:nvSpPr>
        <xdr:cNvPr id="316754" name="Rectangle 28"/>
        <xdr:cNvSpPr>
          <a:spLocks noChangeArrowheads="1"/>
        </xdr:cNvSpPr>
      </xdr:nvSpPr>
      <xdr:spPr bwMode="auto">
        <a:xfrm>
          <a:off x="78181200" y="31623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1571625</xdr:colOff>
      <xdr:row>7</xdr:row>
      <xdr:rowOff>0</xdr:rowOff>
    </xdr:from>
    <xdr:to>
      <xdr:col>106</xdr:col>
      <xdr:colOff>0</xdr:colOff>
      <xdr:row>7</xdr:row>
      <xdr:rowOff>142875</xdr:rowOff>
    </xdr:to>
    <xdr:sp macro="" textlink="">
      <xdr:nvSpPr>
        <xdr:cNvPr id="316755" name="Rectangle 28"/>
        <xdr:cNvSpPr>
          <a:spLocks noChangeArrowheads="1"/>
        </xdr:cNvSpPr>
      </xdr:nvSpPr>
      <xdr:spPr bwMode="auto">
        <a:xfrm>
          <a:off x="78181200" y="1971675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1571625</xdr:colOff>
      <xdr:row>22</xdr:row>
      <xdr:rowOff>76200</xdr:rowOff>
    </xdr:from>
    <xdr:to>
      <xdr:col>106</xdr:col>
      <xdr:colOff>0</xdr:colOff>
      <xdr:row>23</xdr:row>
      <xdr:rowOff>28575</xdr:rowOff>
    </xdr:to>
    <xdr:sp macro="" textlink="">
      <xdr:nvSpPr>
        <xdr:cNvPr id="316756" name="Rectangle 28"/>
        <xdr:cNvSpPr>
          <a:spLocks noChangeArrowheads="1"/>
        </xdr:cNvSpPr>
      </xdr:nvSpPr>
      <xdr:spPr bwMode="auto">
        <a:xfrm>
          <a:off x="78181200" y="50482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1571625</xdr:colOff>
      <xdr:row>18</xdr:row>
      <xdr:rowOff>142875</xdr:rowOff>
    </xdr:from>
    <xdr:to>
      <xdr:col>106</xdr:col>
      <xdr:colOff>0</xdr:colOff>
      <xdr:row>19</xdr:row>
      <xdr:rowOff>104775</xdr:rowOff>
    </xdr:to>
    <xdr:sp macro="" textlink="">
      <xdr:nvSpPr>
        <xdr:cNvPr id="316757" name="Rectangle 27"/>
        <xdr:cNvSpPr>
          <a:spLocks noChangeArrowheads="1"/>
        </xdr:cNvSpPr>
      </xdr:nvSpPr>
      <xdr:spPr bwMode="auto">
        <a:xfrm>
          <a:off x="78181200" y="43148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1571625</xdr:colOff>
      <xdr:row>17</xdr:row>
      <xdr:rowOff>133350</xdr:rowOff>
    </xdr:from>
    <xdr:to>
      <xdr:col>106</xdr:col>
      <xdr:colOff>0</xdr:colOff>
      <xdr:row>18</xdr:row>
      <xdr:rowOff>76200</xdr:rowOff>
    </xdr:to>
    <xdr:sp macro="" textlink="">
      <xdr:nvSpPr>
        <xdr:cNvPr id="316758" name="Rectangle 28"/>
        <xdr:cNvSpPr>
          <a:spLocks noChangeArrowheads="1"/>
        </xdr:cNvSpPr>
      </xdr:nvSpPr>
      <xdr:spPr bwMode="auto">
        <a:xfrm>
          <a:off x="78181200" y="4105275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1571625</xdr:colOff>
      <xdr:row>36</xdr:row>
      <xdr:rowOff>171450</xdr:rowOff>
    </xdr:from>
    <xdr:to>
      <xdr:col>106</xdr:col>
      <xdr:colOff>0</xdr:colOff>
      <xdr:row>37</xdr:row>
      <xdr:rowOff>123825</xdr:rowOff>
    </xdr:to>
    <xdr:sp macro="" textlink="">
      <xdr:nvSpPr>
        <xdr:cNvPr id="316759" name="Rectangle 27"/>
        <xdr:cNvSpPr>
          <a:spLocks noChangeArrowheads="1"/>
        </xdr:cNvSpPr>
      </xdr:nvSpPr>
      <xdr:spPr bwMode="auto">
        <a:xfrm>
          <a:off x="78181200" y="79438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1571625</xdr:colOff>
      <xdr:row>21</xdr:row>
      <xdr:rowOff>95250</xdr:rowOff>
    </xdr:from>
    <xdr:to>
      <xdr:col>106</xdr:col>
      <xdr:colOff>0</xdr:colOff>
      <xdr:row>22</xdr:row>
      <xdr:rowOff>57150</xdr:rowOff>
    </xdr:to>
    <xdr:sp macro="" textlink="">
      <xdr:nvSpPr>
        <xdr:cNvPr id="316760" name="Rectangle 28"/>
        <xdr:cNvSpPr>
          <a:spLocks noChangeArrowheads="1"/>
        </xdr:cNvSpPr>
      </xdr:nvSpPr>
      <xdr:spPr bwMode="auto">
        <a:xfrm>
          <a:off x="78181200" y="4867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1571625</xdr:colOff>
      <xdr:row>12</xdr:row>
      <xdr:rowOff>9525</xdr:rowOff>
    </xdr:from>
    <xdr:to>
      <xdr:col>106</xdr:col>
      <xdr:colOff>0</xdr:colOff>
      <xdr:row>12</xdr:row>
      <xdr:rowOff>171450</xdr:rowOff>
    </xdr:to>
    <xdr:sp macro="" textlink="">
      <xdr:nvSpPr>
        <xdr:cNvPr id="316761" name="Rectangle 28"/>
        <xdr:cNvSpPr>
          <a:spLocks noChangeArrowheads="1"/>
        </xdr:cNvSpPr>
      </xdr:nvSpPr>
      <xdr:spPr bwMode="auto">
        <a:xfrm>
          <a:off x="78181200" y="29813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1571625</xdr:colOff>
      <xdr:row>8</xdr:row>
      <xdr:rowOff>9525</xdr:rowOff>
    </xdr:from>
    <xdr:to>
      <xdr:col>106</xdr:col>
      <xdr:colOff>0</xdr:colOff>
      <xdr:row>8</xdr:row>
      <xdr:rowOff>171450</xdr:rowOff>
    </xdr:to>
    <xdr:sp macro="" textlink="">
      <xdr:nvSpPr>
        <xdr:cNvPr id="316762" name="Rectangle 28"/>
        <xdr:cNvSpPr>
          <a:spLocks noChangeArrowheads="1"/>
        </xdr:cNvSpPr>
      </xdr:nvSpPr>
      <xdr:spPr bwMode="auto">
        <a:xfrm>
          <a:off x="78181200" y="21812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1571625</xdr:colOff>
      <xdr:row>22</xdr:row>
      <xdr:rowOff>76200</xdr:rowOff>
    </xdr:from>
    <xdr:to>
      <xdr:col>106</xdr:col>
      <xdr:colOff>0</xdr:colOff>
      <xdr:row>23</xdr:row>
      <xdr:rowOff>28575</xdr:rowOff>
    </xdr:to>
    <xdr:sp macro="" textlink="">
      <xdr:nvSpPr>
        <xdr:cNvPr id="316763" name="Rectangle 28"/>
        <xdr:cNvSpPr>
          <a:spLocks noChangeArrowheads="1"/>
        </xdr:cNvSpPr>
      </xdr:nvSpPr>
      <xdr:spPr bwMode="auto">
        <a:xfrm>
          <a:off x="78181200" y="50482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1571625</xdr:colOff>
      <xdr:row>5</xdr:row>
      <xdr:rowOff>95250</xdr:rowOff>
    </xdr:from>
    <xdr:to>
      <xdr:col>106</xdr:col>
      <xdr:colOff>0</xdr:colOff>
      <xdr:row>6</xdr:row>
      <xdr:rowOff>57150</xdr:rowOff>
    </xdr:to>
    <xdr:sp macro="" textlink="">
      <xdr:nvSpPr>
        <xdr:cNvPr id="316764" name="Rectangle 27"/>
        <xdr:cNvSpPr>
          <a:spLocks noChangeArrowheads="1"/>
        </xdr:cNvSpPr>
      </xdr:nvSpPr>
      <xdr:spPr bwMode="auto">
        <a:xfrm>
          <a:off x="78181200" y="16668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1571625</xdr:colOff>
      <xdr:row>27</xdr:row>
      <xdr:rowOff>9525</xdr:rowOff>
    </xdr:from>
    <xdr:to>
      <xdr:col>106</xdr:col>
      <xdr:colOff>0</xdr:colOff>
      <xdr:row>27</xdr:row>
      <xdr:rowOff>161925</xdr:rowOff>
    </xdr:to>
    <xdr:sp macro="" textlink="">
      <xdr:nvSpPr>
        <xdr:cNvPr id="316765" name="Rectangle 27"/>
        <xdr:cNvSpPr>
          <a:spLocks noChangeArrowheads="1"/>
        </xdr:cNvSpPr>
      </xdr:nvSpPr>
      <xdr:spPr bwMode="auto">
        <a:xfrm>
          <a:off x="78181200" y="59817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1571625</xdr:colOff>
      <xdr:row>33</xdr:row>
      <xdr:rowOff>161925</xdr:rowOff>
    </xdr:from>
    <xdr:to>
      <xdr:col>106</xdr:col>
      <xdr:colOff>0</xdr:colOff>
      <xdr:row>34</xdr:row>
      <xdr:rowOff>123825</xdr:rowOff>
    </xdr:to>
    <xdr:sp macro="" textlink="">
      <xdr:nvSpPr>
        <xdr:cNvPr id="316766" name="Rectangle 28"/>
        <xdr:cNvSpPr>
          <a:spLocks noChangeArrowheads="1"/>
        </xdr:cNvSpPr>
      </xdr:nvSpPr>
      <xdr:spPr bwMode="auto">
        <a:xfrm>
          <a:off x="78181200" y="733425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1571625</xdr:colOff>
      <xdr:row>21</xdr:row>
      <xdr:rowOff>95250</xdr:rowOff>
    </xdr:from>
    <xdr:to>
      <xdr:col>106</xdr:col>
      <xdr:colOff>0</xdr:colOff>
      <xdr:row>22</xdr:row>
      <xdr:rowOff>57150</xdr:rowOff>
    </xdr:to>
    <xdr:sp macro="" textlink="">
      <xdr:nvSpPr>
        <xdr:cNvPr id="316767" name="Rectangle 28"/>
        <xdr:cNvSpPr>
          <a:spLocks noChangeArrowheads="1"/>
        </xdr:cNvSpPr>
      </xdr:nvSpPr>
      <xdr:spPr bwMode="auto">
        <a:xfrm>
          <a:off x="78181200" y="4867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1571625</xdr:colOff>
      <xdr:row>15</xdr:row>
      <xdr:rowOff>142875</xdr:rowOff>
    </xdr:from>
    <xdr:to>
      <xdr:col>106</xdr:col>
      <xdr:colOff>0</xdr:colOff>
      <xdr:row>16</xdr:row>
      <xdr:rowOff>95250</xdr:rowOff>
    </xdr:to>
    <xdr:sp macro="" textlink="">
      <xdr:nvSpPr>
        <xdr:cNvPr id="316768" name="Rectangle 28"/>
        <xdr:cNvSpPr>
          <a:spLocks noChangeArrowheads="1"/>
        </xdr:cNvSpPr>
      </xdr:nvSpPr>
      <xdr:spPr bwMode="auto">
        <a:xfrm>
          <a:off x="78181200" y="37147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1571625</xdr:colOff>
      <xdr:row>46</xdr:row>
      <xdr:rowOff>76200</xdr:rowOff>
    </xdr:from>
    <xdr:to>
      <xdr:col>106</xdr:col>
      <xdr:colOff>0</xdr:colOff>
      <xdr:row>47</xdr:row>
      <xdr:rowOff>38100</xdr:rowOff>
    </xdr:to>
    <xdr:sp macro="" textlink="">
      <xdr:nvSpPr>
        <xdr:cNvPr id="316769" name="Rectangle 27"/>
        <xdr:cNvSpPr>
          <a:spLocks noChangeArrowheads="1"/>
        </xdr:cNvSpPr>
      </xdr:nvSpPr>
      <xdr:spPr bwMode="auto">
        <a:xfrm>
          <a:off x="78181200" y="984885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1571625</xdr:colOff>
      <xdr:row>42</xdr:row>
      <xdr:rowOff>123825</xdr:rowOff>
    </xdr:from>
    <xdr:to>
      <xdr:col>106</xdr:col>
      <xdr:colOff>0</xdr:colOff>
      <xdr:row>43</xdr:row>
      <xdr:rowOff>76200</xdr:rowOff>
    </xdr:to>
    <xdr:sp macro="" textlink="">
      <xdr:nvSpPr>
        <xdr:cNvPr id="316770" name="Rectangle 27"/>
        <xdr:cNvSpPr>
          <a:spLocks noChangeArrowheads="1"/>
        </xdr:cNvSpPr>
      </xdr:nvSpPr>
      <xdr:spPr bwMode="auto">
        <a:xfrm>
          <a:off x="78181200" y="90963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1571625</xdr:colOff>
      <xdr:row>43</xdr:row>
      <xdr:rowOff>76200</xdr:rowOff>
    </xdr:from>
    <xdr:to>
      <xdr:col>106</xdr:col>
      <xdr:colOff>0</xdr:colOff>
      <xdr:row>44</xdr:row>
      <xdr:rowOff>28575</xdr:rowOff>
    </xdr:to>
    <xdr:sp macro="" textlink="">
      <xdr:nvSpPr>
        <xdr:cNvPr id="316771" name="Rectangle 28"/>
        <xdr:cNvSpPr>
          <a:spLocks noChangeArrowheads="1"/>
        </xdr:cNvSpPr>
      </xdr:nvSpPr>
      <xdr:spPr bwMode="auto">
        <a:xfrm>
          <a:off x="78181200" y="92487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1571625</xdr:colOff>
      <xdr:row>3</xdr:row>
      <xdr:rowOff>66675</xdr:rowOff>
    </xdr:from>
    <xdr:to>
      <xdr:col>106</xdr:col>
      <xdr:colOff>0</xdr:colOff>
      <xdr:row>4</xdr:row>
      <xdr:rowOff>9525</xdr:rowOff>
    </xdr:to>
    <xdr:sp macro="" textlink="">
      <xdr:nvSpPr>
        <xdr:cNvPr id="316772" name="Rectangle 28"/>
        <xdr:cNvSpPr>
          <a:spLocks noChangeArrowheads="1"/>
        </xdr:cNvSpPr>
      </xdr:nvSpPr>
      <xdr:spPr bwMode="auto">
        <a:xfrm>
          <a:off x="78181200" y="123825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1571625</xdr:colOff>
      <xdr:row>20</xdr:row>
      <xdr:rowOff>57150</xdr:rowOff>
    </xdr:from>
    <xdr:to>
      <xdr:col>106</xdr:col>
      <xdr:colOff>171450</xdr:colOff>
      <xdr:row>24</xdr:row>
      <xdr:rowOff>190500</xdr:rowOff>
    </xdr:to>
    <xdr:sp macro="" textlink="">
      <xdr:nvSpPr>
        <xdr:cNvPr id="316773" name="Obdélník 2785"/>
        <xdr:cNvSpPr>
          <a:spLocks noChangeArrowheads="1"/>
        </xdr:cNvSpPr>
      </xdr:nvSpPr>
      <xdr:spPr bwMode="auto">
        <a:xfrm>
          <a:off x="78181200" y="4629150"/>
          <a:ext cx="180975" cy="933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1571625</xdr:colOff>
      <xdr:row>12</xdr:row>
      <xdr:rowOff>190500</xdr:rowOff>
    </xdr:from>
    <xdr:to>
      <xdr:col>106</xdr:col>
      <xdr:colOff>0</xdr:colOff>
      <xdr:row>13</xdr:row>
      <xdr:rowOff>133350</xdr:rowOff>
    </xdr:to>
    <xdr:sp macro="" textlink="">
      <xdr:nvSpPr>
        <xdr:cNvPr id="316774" name="Rectangle 28"/>
        <xdr:cNvSpPr>
          <a:spLocks noChangeArrowheads="1"/>
        </xdr:cNvSpPr>
      </xdr:nvSpPr>
      <xdr:spPr bwMode="auto">
        <a:xfrm>
          <a:off x="78181200" y="31623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1571625</xdr:colOff>
      <xdr:row>7</xdr:row>
      <xdr:rowOff>0</xdr:rowOff>
    </xdr:from>
    <xdr:to>
      <xdr:col>106</xdr:col>
      <xdr:colOff>0</xdr:colOff>
      <xdr:row>7</xdr:row>
      <xdr:rowOff>142875</xdr:rowOff>
    </xdr:to>
    <xdr:sp macro="" textlink="">
      <xdr:nvSpPr>
        <xdr:cNvPr id="316775" name="Rectangle 28"/>
        <xdr:cNvSpPr>
          <a:spLocks noChangeArrowheads="1"/>
        </xdr:cNvSpPr>
      </xdr:nvSpPr>
      <xdr:spPr bwMode="auto">
        <a:xfrm>
          <a:off x="78181200" y="1971675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1571625</xdr:colOff>
      <xdr:row>22</xdr:row>
      <xdr:rowOff>76200</xdr:rowOff>
    </xdr:from>
    <xdr:to>
      <xdr:col>106</xdr:col>
      <xdr:colOff>0</xdr:colOff>
      <xdr:row>23</xdr:row>
      <xdr:rowOff>28575</xdr:rowOff>
    </xdr:to>
    <xdr:sp macro="" textlink="">
      <xdr:nvSpPr>
        <xdr:cNvPr id="316776" name="Rectangle 28"/>
        <xdr:cNvSpPr>
          <a:spLocks noChangeArrowheads="1"/>
        </xdr:cNvSpPr>
      </xdr:nvSpPr>
      <xdr:spPr bwMode="auto">
        <a:xfrm>
          <a:off x="78181200" y="50482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1571625</xdr:colOff>
      <xdr:row>18</xdr:row>
      <xdr:rowOff>142875</xdr:rowOff>
    </xdr:from>
    <xdr:to>
      <xdr:col>106</xdr:col>
      <xdr:colOff>0</xdr:colOff>
      <xdr:row>19</xdr:row>
      <xdr:rowOff>104775</xdr:rowOff>
    </xdr:to>
    <xdr:sp macro="" textlink="">
      <xdr:nvSpPr>
        <xdr:cNvPr id="316777" name="Rectangle 27"/>
        <xdr:cNvSpPr>
          <a:spLocks noChangeArrowheads="1"/>
        </xdr:cNvSpPr>
      </xdr:nvSpPr>
      <xdr:spPr bwMode="auto">
        <a:xfrm>
          <a:off x="78181200" y="43148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1571625</xdr:colOff>
      <xdr:row>17</xdr:row>
      <xdr:rowOff>133350</xdr:rowOff>
    </xdr:from>
    <xdr:to>
      <xdr:col>106</xdr:col>
      <xdr:colOff>0</xdr:colOff>
      <xdr:row>18</xdr:row>
      <xdr:rowOff>76200</xdr:rowOff>
    </xdr:to>
    <xdr:sp macro="" textlink="">
      <xdr:nvSpPr>
        <xdr:cNvPr id="316778" name="Rectangle 28"/>
        <xdr:cNvSpPr>
          <a:spLocks noChangeArrowheads="1"/>
        </xdr:cNvSpPr>
      </xdr:nvSpPr>
      <xdr:spPr bwMode="auto">
        <a:xfrm>
          <a:off x="78181200" y="4105275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1571625</xdr:colOff>
      <xdr:row>36</xdr:row>
      <xdr:rowOff>171450</xdr:rowOff>
    </xdr:from>
    <xdr:to>
      <xdr:col>106</xdr:col>
      <xdr:colOff>0</xdr:colOff>
      <xdr:row>37</xdr:row>
      <xdr:rowOff>123825</xdr:rowOff>
    </xdr:to>
    <xdr:sp macro="" textlink="">
      <xdr:nvSpPr>
        <xdr:cNvPr id="316779" name="Rectangle 27"/>
        <xdr:cNvSpPr>
          <a:spLocks noChangeArrowheads="1"/>
        </xdr:cNvSpPr>
      </xdr:nvSpPr>
      <xdr:spPr bwMode="auto">
        <a:xfrm>
          <a:off x="78181200" y="79438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1571625</xdr:colOff>
      <xdr:row>21</xdr:row>
      <xdr:rowOff>95250</xdr:rowOff>
    </xdr:from>
    <xdr:to>
      <xdr:col>106</xdr:col>
      <xdr:colOff>0</xdr:colOff>
      <xdr:row>22</xdr:row>
      <xdr:rowOff>57150</xdr:rowOff>
    </xdr:to>
    <xdr:sp macro="" textlink="">
      <xdr:nvSpPr>
        <xdr:cNvPr id="316780" name="Rectangle 28"/>
        <xdr:cNvSpPr>
          <a:spLocks noChangeArrowheads="1"/>
        </xdr:cNvSpPr>
      </xdr:nvSpPr>
      <xdr:spPr bwMode="auto">
        <a:xfrm>
          <a:off x="78181200" y="4867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1571625</xdr:colOff>
      <xdr:row>12</xdr:row>
      <xdr:rowOff>9525</xdr:rowOff>
    </xdr:from>
    <xdr:to>
      <xdr:col>106</xdr:col>
      <xdr:colOff>0</xdr:colOff>
      <xdr:row>12</xdr:row>
      <xdr:rowOff>171450</xdr:rowOff>
    </xdr:to>
    <xdr:sp macro="" textlink="">
      <xdr:nvSpPr>
        <xdr:cNvPr id="316781" name="Rectangle 28"/>
        <xdr:cNvSpPr>
          <a:spLocks noChangeArrowheads="1"/>
        </xdr:cNvSpPr>
      </xdr:nvSpPr>
      <xdr:spPr bwMode="auto">
        <a:xfrm>
          <a:off x="78181200" y="29813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1571625</xdr:colOff>
      <xdr:row>8</xdr:row>
      <xdr:rowOff>9525</xdr:rowOff>
    </xdr:from>
    <xdr:to>
      <xdr:col>106</xdr:col>
      <xdr:colOff>0</xdr:colOff>
      <xdr:row>8</xdr:row>
      <xdr:rowOff>171450</xdr:rowOff>
    </xdr:to>
    <xdr:sp macro="" textlink="">
      <xdr:nvSpPr>
        <xdr:cNvPr id="316782" name="Rectangle 28"/>
        <xdr:cNvSpPr>
          <a:spLocks noChangeArrowheads="1"/>
        </xdr:cNvSpPr>
      </xdr:nvSpPr>
      <xdr:spPr bwMode="auto">
        <a:xfrm>
          <a:off x="78181200" y="21812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1571625</xdr:colOff>
      <xdr:row>22</xdr:row>
      <xdr:rowOff>76200</xdr:rowOff>
    </xdr:from>
    <xdr:to>
      <xdr:col>106</xdr:col>
      <xdr:colOff>0</xdr:colOff>
      <xdr:row>23</xdr:row>
      <xdr:rowOff>28575</xdr:rowOff>
    </xdr:to>
    <xdr:sp macro="" textlink="">
      <xdr:nvSpPr>
        <xdr:cNvPr id="316783" name="Rectangle 28"/>
        <xdr:cNvSpPr>
          <a:spLocks noChangeArrowheads="1"/>
        </xdr:cNvSpPr>
      </xdr:nvSpPr>
      <xdr:spPr bwMode="auto">
        <a:xfrm>
          <a:off x="78181200" y="50482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1571625</xdr:colOff>
      <xdr:row>5</xdr:row>
      <xdr:rowOff>95250</xdr:rowOff>
    </xdr:from>
    <xdr:to>
      <xdr:col>106</xdr:col>
      <xdr:colOff>0</xdr:colOff>
      <xdr:row>6</xdr:row>
      <xdr:rowOff>57150</xdr:rowOff>
    </xdr:to>
    <xdr:sp macro="" textlink="">
      <xdr:nvSpPr>
        <xdr:cNvPr id="316784" name="Rectangle 27"/>
        <xdr:cNvSpPr>
          <a:spLocks noChangeArrowheads="1"/>
        </xdr:cNvSpPr>
      </xdr:nvSpPr>
      <xdr:spPr bwMode="auto">
        <a:xfrm>
          <a:off x="78181200" y="16668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1571625</xdr:colOff>
      <xdr:row>27</xdr:row>
      <xdr:rowOff>9525</xdr:rowOff>
    </xdr:from>
    <xdr:to>
      <xdr:col>106</xdr:col>
      <xdr:colOff>0</xdr:colOff>
      <xdr:row>27</xdr:row>
      <xdr:rowOff>161925</xdr:rowOff>
    </xdr:to>
    <xdr:sp macro="" textlink="">
      <xdr:nvSpPr>
        <xdr:cNvPr id="316785" name="Rectangle 27"/>
        <xdr:cNvSpPr>
          <a:spLocks noChangeArrowheads="1"/>
        </xdr:cNvSpPr>
      </xdr:nvSpPr>
      <xdr:spPr bwMode="auto">
        <a:xfrm>
          <a:off x="78181200" y="59817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1571625</xdr:colOff>
      <xdr:row>33</xdr:row>
      <xdr:rowOff>161925</xdr:rowOff>
    </xdr:from>
    <xdr:to>
      <xdr:col>106</xdr:col>
      <xdr:colOff>0</xdr:colOff>
      <xdr:row>34</xdr:row>
      <xdr:rowOff>123825</xdr:rowOff>
    </xdr:to>
    <xdr:sp macro="" textlink="">
      <xdr:nvSpPr>
        <xdr:cNvPr id="316786" name="Rectangle 28"/>
        <xdr:cNvSpPr>
          <a:spLocks noChangeArrowheads="1"/>
        </xdr:cNvSpPr>
      </xdr:nvSpPr>
      <xdr:spPr bwMode="auto">
        <a:xfrm>
          <a:off x="78181200" y="733425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1571625</xdr:colOff>
      <xdr:row>21</xdr:row>
      <xdr:rowOff>95250</xdr:rowOff>
    </xdr:from>
    <xdr:to>
      <xdr:col>106</xdr:col>
      <xdr:colOff>0</xdr:colOff>
      <xdr:row>22</xdr:row>
      <xdr:rowOff>57150</xdr:rowOff>
    </xdr:to>
    <xdr:sp macro="" textlink="">
      <xdr:nvSpPr>
        <xdr:cNvPr id="316787" name="Rectangle 28"/>
        <xdr:cNvSpPr>
          <a:spLocks noChangeArrowheads="1"/>
        </xdr:cNvSpPr>
      </xdr:nvSpPr>
      <xdr:spPr bwMode="auto">
        <a:xfrm>
          <a:off x="78181200" y="4867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1571625</xdr:colOff>
      <xdr:row>15</xdr:row>
      <xdr:rowOff>142875</xdr:rowOff>
    </xdr:from>
    <xdr:to>
      <xdr:col>106</xdr:col>
      <xdr:colOff>0</xdr:colOff>
      <xdr:row>16</xdr:row>
      <xdr:rowOff>95250</xdr:rowOff>
    </xdr:to>
    <xdr:sp macro="" textlink="">
      <xdr:nvSpPr>
        <xdr:cNvPr id="316788" name="Rectangle 28"/>
        <xdr:cNvSpPr>
          <a:spLocks noChangeArrowheads="1"/>
        </xdr:cNvSpPr>
      </xdr:nvSpPr>
      <xdr:spPr bwMode="auto">
        <a:xfrm>
          <a:off x="78181200" y="37147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1571625</xdr:colOff>
      <xdr:row>46</xdr:row>
      <xdr:rowOff>76200</xdr:rowOff>
    </xdr:from>
    <xdr:to>
      <xdr:col>106</xdr:col>
      <xdr:colOff>0</xdr:colOff>
      <xdr:row>47</xdr:row>
      <xdr:rowOff>38100</xdr:rowOff>
    </xdr:to>
    <xdr:sp macro="" textlink="">
      <xdr:nvSpPr>
        <xdr:cNvPr id="316789" name="Rectangle 27"/>
        <xdr:cNvSpPr>
          <a:spLocks noChangeArrowheads="1"/>
        </xdr:cNvSpPr>
      </xdr:nvSpPr>
      <xdr:spPr bwMode="auto">
        <a:xfrm>
          <a:off x="78181200" y="984885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1571625</xdr:colOff>
      <xdr:row>42</xdr:row>
      <xdr:rowOff>123825</xdr:rowOff>
    </xdr:from>
    <xdr:to>
      <xdr:col>106</xdr:col>
      <xdr:colOff>0</xdr:colOff>
      <xdr:row>43</xdr:row>
      <xdr:rowOff>76200</xdr:rowOff>
    </xdr:to>
    <xdr:sp macro="" textlink="">
      <xdr:nvSpPr>
        <xdr:cNvPr id="316790" name="Rectangle 27"/>
        <xdr:cNvSpPr>
          <a:spLocks noChangeArrowheads="1"/>
        </xdr:cNvSpPr>
      </xdr:nvSpPr>
      <xdr:spPr bwMode="auto">
        <a:xfrm>
          <a:off x="78181200" y="90963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1571625</xdr:colOff>
      <xdr:row>43</xdr:row>
      <xdr:rowOff>76200</xdr:rowOff>
    </xdr:from>
    <xdr:to>
      <xdr:col>106</xdr:col>
      <xdr:colOff>0</xdr:colOff>
      <xdr:row>44</xdr:row>
      <xdr:rowOff>28575</xdr:rowOff>
    </xdr:to>
    <xdr:sp macro="" textlink="">
      <xdr:nvSpPr>
        <xdr:cNvPr id="316791" name="Rectangle 28"/>
        <xdr:cNvSpPr>
          <a:spLocks noChangeArrowheads="1"/>
        </xdr:cNvSpPr>
      </xdr:nvSpPr>
      <xdr:spPr bwMode="auto">
        <a:xfrm>
          <a:off x="78181200" y="92487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1571625</xdr:colOff>
      <xdr:row>3</xdr:row>
      <xdr:rowOff>66675</xdr:rowOff>
    </xdr:from>
    <xdr:to>
      <xdr:col>106</xdr:col>
      <xdr:colOff>0</xdr:colOff>
      <xdr:row>4</xdr:row>
      <xdr:rowOff>9525</xdr:rowOff>
    </xdr:to>
    <xdr:sp macro="" textlink="">
      <xdr:nvSpPr>
        <xdr:cNvPr id="316792" name="Rectangle 28"/>
        <xdr:cNvSpPr>
          <a:spLocks noChangeArrowheads="1"/>
        </xdr:cNvSpPr>
      </xdr:nvSpPr>
      <xdr:spPr bwMode="auto">
        <a:xfrm>
          <a:off x="78181200" y="123825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1571625</xdr:colOff>
      <xdr:row>5</xdr:row>
      <xdr:rowOff>95250</xdr:rowOff>
    </xdr:from>
    <xdr:to>
      <xdr:col>106</xdr:col>
      <xdr:colOff>0</xdr:colOff>
      <xdr:row>6</xdr:row>
      <xdr:rowOff>57150</xdr:rowOff>
    </xdr:to>
    <xdr:sp macro="" textlink="">
      <xdr:nvSpPr>
        <xdr:cNvPr id="316793" name="Rectangle 27"/>
        <xdr:cNvSpPr>
          <a:spLocks noChangeArrowheads="1"/>
        </xdr:cNvSpPr>
      </xdr:nvSpPr>
      <xdr:spPr bwMode="auto">
        <a:xfrm>
          <a:off x="78181200" y="16668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1571625</xdr:colOff>
      <xdr:row>3</xdr:row>
      <xdr:rowOff>66675</xdr:rowOff>
    </xdr:from>
    <xdr:to>
      <xdr:col>106</xdr:col>
      <xdr:colOff>0</xdr:colOff>
      <xdr:row>4</xdr:row>
      <xdr:rowOff>9525</xdr:rowOff>
    </xdr:to>
    <xdr:sp macro="" textlink="">
      <xdr:nvSpPr>
        <xdr:cNvPr id="316794" name="Rectangle 28"/>
        <xdr:cNvSpPr>
          <a:spLocks noChangeArrowheads="1"/>
        </xdr:cNvSpPr>
      </xdr:nvSpPr>
      <xdr:spPr bwMode="auto">
        <a:xfrm>
          <a:off x="78181200" y="123825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1571625</xdr:colOff>
      <xdr:row>31</xdr:row>
      <xdr:rowOff>38100</xdr:rowOff>
    </xdr:from>
    <xdr:to>
      <xdr:col>106</xdr:col>
      <xdr:colOff>0</xdr:colOff>
      <xdr:row>31</xdr:row>
      <xdr:rowOff>190500</xdr:rowOff>
    </xdr:to>
    <xdr:sp macro="" textlink="">
      <xdr:nvSpPr>
        <xdr:cNvPr id="316795" name="Rectangle 27"/>
        <xdr:cNvSpPr>
          <a:spLocks noChangeArrowheads="1"/>
        </xdr:cNvSpPr>
      </xdr:nvSpPr>
      <xdr:spPr bwMode="auto">
        <a:xfrm>
          <a:off x="78181200" y="68103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1571625</xdr:colOff>
      <xdr:row>4</xdr:row>
      <xdr:rowOff>9525</xdr:rowOff>
    </xdr:from>
    <xdr:to>
      <xdr:col>106</xdr:col>
      <xdr:colOff>0</xdr:colOff>
      <xdr:row>4</xdr:row>
      <xdr:rowOff>171450</xdr:rowOff>
    </xdr:to>
    <xdr:sp macro="" textlink="">
      <xdr:nvSpPr>
        <xdr:cNvPr id="316796" name="Rectangle 28"/>
        <xdr:cNvSpPr>
          <a:spLocks noChangeArrowheads="1"/>
        </xdr:cNvSpPr>
      </xdr:nvSpPr>
      <xdr:spPr bwMode="auto">
        <a:xfrm>
          <a:off x="78181200" y="1381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1571625</xdr:colOff>
      <xdr:row>14</xdr:row>
      <xdr:rowOff>190500</xdr:rowOff>
    </xdr:from>
    <xdr:to>
      <xdr:col>106</xdr:col>
      <xdr:colOff>0</xdr:colOff>
      <xdr:row>15</xdr:row>
      <xdr:rowOff>142875</xdr:rowOff>
    </xdr:to>
    <xdr:sp macro="" textlink="">
      <xdr:nvSpPr>
        <xdr:cNvPr id="316797" name="Rectangle 27"/>
        <xdr:cNvSpPr>
          <a:spLocks noChangeArrowheads="1"/>
        </xdr:cNvSpPr>
      </xdr:nvSpPr>
      <xdr:spPr bwMode="auto">
        <a:xfrm>
          <a:off x="78181200" y="3562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1571625</xdr:colOff>
      <xdr:row>12</xdr:row>
      <xdr:rowOff>190500</xdr:rowOff>
    </xdr:from>
    <xdr:to>
      <xdr:col>106</xdr:col>
      <xdr:colOff>0</xdr:colOff>
      <xdr:row>13</xdr:row>
      <xdr:rowOff>133350</xdr:rowOff>
    </xdr:to>
    <xdr:sp macro="" textlink="">
      <xdr:nvSpPr>
        <xdr:cNvPr id="316798" name="Rectangle 28"/>
        <xdr:cNvSpPr>
          <a:spLocks noChangeArrowheads="1"/>
        </xdr:cNvSpPr>
      </xdr:nvSpPr>
      <xdr:spPr bwMode="auto">
        <a:xfrm>
          <a:off x="78181200" y="31623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1571625</xdr:colOff>
      <xdr:row>19</xdr:row>
      <xdr:rowOff>142875</xdr:rowOff>
    </xdr:from>
    <xdr:to>
      <xdr:col>106</xdr:col>
      <xdr:colOff>0</xdr:colOff>
      <xdr:row>20</xdr:row>
      <xdr:rowOff>104775</xdr:rowOff>
    </xdr:to>
    <xdr:sp macro="" textlink="">
      <xdr:nvSpPr>
        <xdr:cNvPr id="316799" name="Rectangle 27"/>
        <xdr:cNvSpPr>
          <a:spLocks noChangeArrowheads="1"/>
        </xdr:cNvSpPr>
      </xdr:nvSpPr>
      <xdr:spPr bwMode="auto">
        <a:xfrm>
          <a:off x="78181200" y="451485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1571625</xdr:colOff>
      <xdr:row>17</xdr:row>
      <xdr:rowOff>133350</xdr:rowOff>
    </xdr:from>
    <xdr:to>
      <xdr:col>106</xdr:col>
      <xdr:colOff>0</xdr:colOff>
      <xdr:row>18</xdr:row>
      <xdr:rowOff>76200</xdr:rowOff>
    </xdr:to>
    <xdr:sp macro="" textlink="">
      <xdr:nvSpPr>
        <xdr:cNvPr id="316800" name="Rectangle 28"/>
        <xdr:cNvSpPr>
          <a:spLocks noChangeArrowheads="1"/>
        </xdr:cNvSpPr>
      </xdr:nvSpPr>
      <xdr:spPr bwMode="auto">
        <a:xfrm>
          <a:off x="78181200" y="4105275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1571625</xdr:colOff>
      <xdr:row>24</xdr:row>
      <xdr:rowOff>104775</xdr:rowOff>
    </xdr:from>
    <xdr:to>
      <xdr:col>106</xdr:col>
      <xdr:colOff>0</xdr:colOff>
      <xdr:row>25</xdr:row>
      <xdr:rowOff>57150</xdr:rowOff>
    </xdr:to>
    <xdr:sp macro="" textlink="">
      <xdr:nvSpPr>
        <xdr:cNvPr id="316801" name="Rectangle 27"/>
        <xdr:cNvSpPr>
          <a:spLocks noChangeArrowheads="1"/>
        </xdr:cNvSpPr>
      </xdr:nvSpPr>
      <xdr:spPr bwMode="auto">
        <a:xfrm>
          <a:off x="78181200" y="54768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1571625</xdr:colOff>
      <xdr:row>22</xdr:row>
      <xdr:rowOff>76200</xdr:rowOff>
    </xdr:from>
    <xdr:to>
      <xdr:col>106</xdr:col>
      <xdr:colOff>0</xdr:colOff>
      <xdr:row>23</xdr:row>
      <xdr:rowOff>28575</xdr:rowOff>
    </xdr:to>
    <xdr:sp macro="" textlink="">
      <xdr:nvSpPr>
        <xdr:cNvPr id="316802" name="Rectangle 28"/>
        <xdr:cNvSpPr>
          <a:spLocks noChangeArrowheads="1"/>
        </xdr:cNvSpPr>
      </xdr:nvSpPr>
      <xdr:spPr bwMode="auto">
        <a:xfrm>
          <a:off x="78181200" y="50482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1571625</xdr:colOff>
      <xdr:row>12</xdr:row>
      <xdr:rowOff>57150</xdr:rowOff>
    </xdr:from>
    <xdr:to>
      <xdr:col>106</xdr:col>
      <xdr:colOff>0</xdr:colOff>
      <xdr:row>12</xdr:row>
      <xdr:rowOff>200025</xdr:rowOff>
    </xdr:to>
    <xdr:sp macro="" textlink="">
      <xdr:nvSpPr>
        <xdr:cNvPr id="316803" name="Rectangle 27"/>
        <xdr:cNvSpPr>
          <a:spLocks noChangeArrowheads="1"/>
        </xdr:cNvSpPr>
      </xdr:nvSpPr>
      <xdr:spPr bwMode="auto">
        <a:xfrm>
          <a:off x="78181200" y="302895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1571625</xdr:colOff>
      <xdr:row>44</xdr:row>
      <xdr:rowOff>28575</xdr:rowOff>
    </xdr:from>
    <xdr:to>
      <xdr:col>106</xdr:col>
      <xdr:colOff>0</xdr:colOff>
      <xdr:row>44</xdr:row>
      <xdr:rowOff>190500</xdr:rowOff>
    </xdr:to>
    <xdr:sp macro="" textlink="">
      <xdr:nvSpPr>
        <xdr:cNvPr id="316804" name="Rectangle 28"/>
        <xdr:cNvSpPr>
          <a:spLocks noChangeArrowheads="1"/>
        </xdr:cNvSpPr>
      </xdr:nvSpPr>
      <xdr:spPr bwMode="auto">
        <a:xfrm>
          <a:off x="78181200" y="94011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1571625</xdr:colOff>
      <xdr:row>34</xdr:row>
      <xdr:rowOff>0</xdr:rowOff>
    </xdr:from>
    <xdr:to>
      <xdr:col>106</xdr:col>
      <xdr:colOff>0</xdr:colOff>
      <xdr:row>34</xdr:row>
      <xdr:rowOff>142875</xdr:rowOff>
    </xdr:to>
    <xdr:sp macro="" textlink="">
      <xdr:nvSpPr>
        <xdr:cNvPr id="316805" name="Rectangle 27"/>
        <xdr:cNvSpPr>
          <a:spLocks noChangeArrowheads="1"/>
        </xdr:cNvSpPr>
      </xdr:nvSpPr>
      <xdr:spPr bwMode="auto">
        <a:xfrm>
          <a:off x="78181200" y="737235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1571625</xdr:colOff>
      <xdr:row>31</xdr:row>
      <xdr:rowOff>190500</xdr:rowOff>
    </xdr:from>
    <xdr:to>
      <xdr:col>106</xdr:col>
      <xdr:colOff>0</xdr:colOff>
      <xdr:row>32</xdr:row>
      <xdr:rowOff>142875</xdr:rowOff>
    </xdr:to>
    <xdr:sp macro="" textlink="">
      <xdr:nvSpPr>
        <xdr:cNvPr id="316806" name="Rectangle 28"/>
        <xdr:cNvSpPr>
          <a:spLocks noChangeArrowheads="1"/>
        </xdr:cNvSpPr>
      </xdr:nvSpPr>
      <xdr:spPr bwMode="auto">
        <a:xfrm>
          <a:off x="78181200" y="69627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1571625</xdr:colOff>
      <xdr:row>38</xdr:row>
      <xdr:rowOff>161925</xdr:rowOff>
    </xdr:from>
    <xdr:to>
      <xdr:col>106</xdr:col>
      <xdr:colOff>0</xdr:colOff>
      <xdr:row>39</xdr:row>
      <xdr:rowOff>123825</xdr:rowOff>
    </xdr:to>
    <xdr:sp macro="" textlink="">
      <xdr:nvSpPr>
        <xdr:cNvPr id="316807" name="Rectangle 27"/>
        <xdr:cNvSpPr>
          <a:spLocks noChangeArrowheads="1"/>
        </xdr:cNvSpPr>
      </xdr:nvSpPr>
      <xdr:spPr bwMode="auto">
        <a:xfrm>
          <a:off x="78181200" y="83343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1571625</xdr:colOff>
      <xdr:row>36</xdr:row>
      <xdr:rowOff>142875</xdr:rowOff>
    </xdr:from>
    <xdr:to>
      <xdr:col>106</xdr:col>
      <xdr:colOff>0</xdr:colOff>
      <xdr:row>37</xdr:row>
      <xdr:rowOff>95250</xdr:rowOff>
    </xdr:to>
    <xdr:sp macro="" textlink="">
      <xdr:nvSpPr>
        <xdr:cNvPr id="316808" name="Rectangle 28"/>
        <xdr:cNvSpPr>
          <a:spLocks noChangeArrowheads="1"/>
        </xdr:cNvSpPr>
      </xdr:nvSpPr>
      <xdr:spPr bwMode="auto">
        <a:xfrm>
          <a:off x="78181200" y="7915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1571625</xdr:colOff>
      <xdr:row>43</xdr:row>
      <xdr:rowOff>123825</xdr:rowOff>
    </xdr:from>
    <xdr:to>
      <xdr:col>106</xdr:col>
      <xdr:colOff>0</xdr:colOff>
      <xdr:row>44</xdr:row>
      <xdr:rowOff>66675</xdr:rowOff>
    </xdr:to>
    <xdr:sp macro="" textlink="">
      <xdr:nvSpPr>
        <xdr:cNvPr id="316809" name="Rectangle 27"/>
        <xdr:cNvSpPr>
          <a:spLocks noChangeArrowheads="1"/>
        </xdr:cNvSpPr>
      </xdr:nvSpPr>
      <xdr:spPr bwMode="auto">
        <a:xfrm>
          <a:off x="78181200" y="92964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1571625</xdr:colOff>
      <xdr:row>41</xdr:row>
      <xdr:rowOff>76200</xdr:rowOff>
    </xdr:from>
    <xdr:to>
      <xdr:col>106</xdr:col>
      <xdr:colOff>0</xdr:colOff>
      <xdr:row>42</xdr:row>
      <xdr:rowOff>38100</xdr:rowOff>
    </xdr:to>
    <xdr:sp macro="" textlink="">
      <xdr:nvSpPr>
        <xdr:cNvPr id="316810" name="Rectangle 28"/>
        <xdr:cNvSpPr>
          <a:spLocks noChangeArrowheads="1"/>
        </xdr:cNvSpPr>
      </xdr:nvSpPr>
      <xdr:spPr bwMode="auto">
        <a:xfrm>
          <a:off x="78181200" y="88487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1571625</xdr:colOff>
      <xdr:row>48</xdr:row>
      <xdr:rowOff>57150</xdr:rowOff>
    </xdr:from>
    <xdr:to>
      <xdr:col>106</xdr:col>
      <xdr:colOff>0</xdr:colOff>
      <xdr:row>49</xdr:row>
      <xdr:rowOff>9525</xdr:rowOff>
    </xdr:to>
    <xdr:sp macro="" textlink="">
      <xdr:nvSpPr>
        <xdr:cNvPr id="316811" name="Rectangle 27"/>
        <xdr:cNvSpPr>
          <a:spLocks noChangeArrowheads="1"/>
        </xdr:cNvSpPr>
      </xdr:nvSpPr>
      <xdr:spPr bwMode="auto">
        <a:xfrm>
          <a:off x="78181200" y="102298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1571625</xdr:colOff>
      <xdr:row>48</xdr:row>
      <xdr:rowOff>38100</xdr:rowOff>
    </xdr:from>
    <xdr:to>
      <xdr:col>106</xdr:col>
      <xdr:colOff>0</xdr:colOff>
      <xdr:row>48</xdr:row>
      <xdr:rowOff>190500</xdr:rowOff>
    </xdr:to>
    <xdr:sp macro="" textlink="">
      <xdr:nvSpPr>
        <xdr:cNvPr id="316812" name="Rectangle 28"/>
        <xdr:cNvSpPr>
          <a:spLocks noChangeArrowheads="1"/>
        </xdr:cNvSpPr>
      </xdr:nvSpPr>
      <xdr:spPr bwMode="auto">
        <a:xfrm>
          <a:off x="78181200" y="102108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1571625</xdr:colOff>
      <xdr:row>5</xdr:row>
      <xdr:rowOff>95250</xdr:rowOff>
    </xdr:from>
    <xdr:to>
      <xdr:col>106</xdr:col>
      <xdr:colOff>0</xdr:colOff>
      <xdr:row>6</xdr:row>
      <xdr:rowOff>57150</xdr:rowOff>
    </xdr:to>
    <xdr:sp macro="" textlink="">
      <xdr:nvSpPr>
        <xdr:cNvPr id="316813" name="Rectangle 27"/>
        <xdr:cNvSpPr>
          <a:spLocks noChangeArrowheads="1"/>
        </xdr:cNvSpPr>
      </xdr:nvSpPr>
      <xdr:spPr bwMode="auto">
        <a:xfrm>
          <a:off x="78181200" y="16668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1571625</xdr:colOff>
      <xdr:row>3</xdr:row>
      <xdr:rowOff>66675</xdr:rowOff>
    </xdr:from>
    <xdr:to>
      <xdr:col>106</xdr:col>
      <xdr:colOff>0</xdr:colOff>
      <xdr:row>4</xdr:row>
      <xdr:rowOff>9525</xdr:rowOff>
    </xdr:to>
    <xdr:sp macro="" textlink="">
      <xdr:nvSpPr>
        <xdr:cNvPr id="316814" name="Rectangle 28"/>
        <xdr:cNvSpPr>
          <a:spLocks noChangeArrowheads="1"/>
        </xdr:cNvSpPr>
      </xdr:nvSpPr>
      <xdr:spPr bwMode="auto">
        <a:xfrm>
          <a:off x="78181200" y="123825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1571625</xdr:colOff>
      <xdr:row>31</xdr:row>
      <xdr:rowOff>38100</xdr:rowOff>
    </xdr:from>
    <xdr:to>
      <xdr:col>106</xdr:col>
      <xdr:colOff>0</xdr:colOff>
      <xdr:row>31</xdr:row>
      <xdr:rowOff>190500</xdr:rowOff>
    </xdr:to>
    <xdr:sp macro="" textlink="">
      <xdr:nvSpPr>
        <xdr:cNvPr id="316815" name="Rectangle 27"/>
        <xdr:cNvSpPr>
          <a:spLocks noChangeArrowheads="1"/>
        </xdr:cNvSpPr>
      </xdr:nvSpPr>
      <xdr:spPr bwMode="auto">
        <a:xfrm>
          <a:off x="78181200" y="68103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1571625</xdr:colOff>
      <xdr:row>4</xdr:row>
      <xdr:rowOff>9525</xdr:rowOff>
    </xdr:from>
    <xdr:to>
      <xdr:col>106</xdr:col>
      <xdr:colOff>0</xdr:colOff>
      <xdr:row>4</xdr:row>
      <xdr:rowOff>171450</xdr:rowOff>
    </xdr:to>
    <xdr:sp macro="" textlink="">
      <xdr:nvSpPr>
        <xdr:cNvPr id="316816" name="Rectangle 28"/>
        <xdr:cNvSpPr>
          <a:spLocks noChangeArrowheads="1"/>
        </xdr:cNvSpPr>
      </xdr:nvSpPr>
      <xdr:spPr bwMode="auto">
        <a:xfrm>
          <a:off x="78181200" y="1381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1571625</xdr:colOff>
      <xdr:row>14</xdr:row>
      <xdr:rowOff>190500</xdr:rowOff>
    </xdr:from>
    <xdr:to>
      <xdr:col>106</xdr:col>
      <xdr:colOff>0</xdr:colOff>
      <xdr:row>15</xdr:row>
      <xdr:rowOff>142875</xdr:rowOff>
    </xdr:to>
    <xdr:sp macro="" textlink="">
      <xdr:nvSpPr>
        <xdr:cNvPr id="316817" name="Rectangle 27"/>
        <xdr:cNvSpPr>
          <a:spLocks noChangeArrowheads="1"/>
        </xdr:cNvSpPr>
      </xdr:nvSpPr>
      <xdr:spPr bwMode="auto">
        <a:xfrm>
          <a:off x="78181200" y="3562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1571625</xdr:colOff>
      <xdr:row>12</xdr:row>
      <xdr:rowOff>190500</xdr:rowOff>
    </xdr:from>
    <xdr:to>
      <xdr:col>106</xdr:col>
      <xdr:colOff>0</xdr:colOff>
      <xdr:row>13</xdr:row>
      <xdr:rowOff>133350</xdr:rowOff>
    </xdr:to>
    <xdr:sp macro="" textlink="">
      <xdr:nvSpPr>
        <xdr:cNvPr id="316818" name="Rectangle 28"/>
        <xdr:cNvSpPr>
          <a:spLocks noChangeArrowheads="1"/>
        </xdr:cNvSpPr>
      </xdr:nvSpPr>
      <xdr:spPr bwMode="auto">
        <a:xfrm>
          <a:off x="78181200" y="31623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1571625</xdr:colOff>
      <xdr:row>19</xdr:row>
      <xdr:rowOff>142875</xdr:rowOff>
    </xdr:from>
    <xdr:to>
      <xdr:col>106</xdr:col>
      <xdr:colOff>0</xdr:colOff>
      <xdr:row>20</xdr:row>
      <xdr:rowOff>104775</xdr:rowOff>
    </xdr:to>
    <xdr:sp macro="" textlink="">
      <xdr:nvSpPr>
        <xdr:cNvPr id="316819" name="Rectangle 27"/>
        <xdr:cNvSpPr>
          <a:spLocks noChangeArrowheads="1"/>
        </xdr:cNvSpPr>
      </xdr:nvSpPr>
      <xdr:spPr bwMode="auto">
        <a:xfrm>
          <a:off x="78181200" y="451485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1571625</xdr:colOff>
      <xdr:row>17</xdr:row>
      <xdr:rowOff>133350</xdr:rowOff>
    </xdr:from>
    <xdr:to>
      <xdr:col>106</xdr:col>
      <xdr:colOff>0</xdr:colOff>
      <xdr:row>18</xdr:row>
      <xdr:rowOff>76200</xdr:rowOff>
    </xdr:to>
    <xdr:sp macro="" textlink="">
      <xdr:nvSpPr>
        <xdr:cNvPr id="316820" name="Rectangle 28"/>
        <xdr:cNvSpPr>
          <a:spLocks noChangeArrowheads="1"/>
        </xdr:cNvSpPr>
      </xdr:nvSpPr>
      <xdr:spPr bwMode="auto">
        <a:xfrm>
          <a:off x="78181200" y="4105275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1571625</xdr:colOff>
      <xdr:row>24</xdr:row>
      <xdr:rowOff>104775</xdr:rowOff>
    </xdr:from>
    <xdr:to>
      <xdr:col>106</xdr:col>
      <xdr:colOff>0</xdr:colOff>
      <xdr:row>25</xdr:row>
      <xdr:rowOff>57150</xdr:rowOff>
    </xdr:to>
    <xdr:sp macro="" textlink="">
      <xdr:nvSpPr>
        <xdr:cNvPr id="316821" name="Rectangle 27"/>
        <xdr:cNvSpPr>
          <a:spLocks noChangeArrowheads="1"/>
        </xdr:cNvSpPr>
      </xdr:nvSpPr>
      <xdr:spPr bwMode="auto">
        <a:xfrm>
          <a:off x="78181200" y="54768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1571625</xdr:colOff>
      <xdr:row>22</xdr:row>
      <xdr:rowOff>76200</xdr:rowOff>
    </xdr:from>
    <xdr:to>
      <xdr:col>106</xdr:col>
      <xdr:colOff>0</xdr:colOff>
      <xdr:row>23</xdr:row>
      <xdr:rowOff>28575</xdr:rowOff>
    </xdr:to>
    <xdr:sp macro="" textlink="">
      <xdr:nvSpPr>
        <xdr:cNvPr id="316822" name="Rectangle 28"/>
        <xdr:cNvSpPr>
          <a:spLocks noChangeArrowheads="1"/>
        </xdr:cNvSpPr>
      </xdr:nvSpPr>
      <xdr:spPr bwMode="auto">
        <a:xfrm>
          <a:off x="78181200" y="50482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1571625</xdr:colOff>
      <xdr:row>12</xdr:row>
      <xdr:rowOff>57150</xdr:rowOff>
    </xdr:from>
    <xdr:to>
      <xdr:col>106</xdr:col>
      <xdr:colOff>0</xdr:colOff>
      <xdr:row>12</xdr:row>
      <xdr:rowOff>200025</xdr:rowOff>
    </xdr:to>
    <xdr:sp macro="" textlink="">
      <xdr:nvSpPr>
        <xdr:cNvPr id="316823" name="Rectangle 27"/>
        <xdr:cNvSpPr>
          <a:spLocks noChangeArrowheads="1"/>
        </xdr:cNvSpPr>
      </xdr:nvSpPr>
      <xdr:spPr bwMode="auto">
        <a:xfrm>
          <a:off x="78181200" y="302895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1571625</xdr:colOff>
      <xdr:row>44</xdr:row>
      <xdr:rowOff>28575</xdr:rowOff>
    </xdr:from>
    <xdr:to>
      <xdr:col>106</xdr:col>
      <xdr:colOff>0</xdr:colOff>
      <xdr:row>44</xdr:row>
      <xdr:rowOff>190500</xdr:rowOff>
    </xdr:to>
    <xdr:sp macro="" textlink="">
      <xdr:nvSpPr>
        <xdr:cNvPr id="316824" name="Rectangle 28"/>
        <xdr:cNvSpPr>
          <a:spLocks noChangeArrowheads="1"/>
        </xdr:cNvSpPr>
      </xdr:nvSpPr>
      <xdr:spPr bwMode="auto">
        <a:xfrm>
          <a:off x="78181200" y="94011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1571625</xdr:colOff>
      <xdr:row>34</xdr:row>
      <xdr:rowOff>0</xdr:rowOff>
    </xdr:from>
    <xdr:to>
      <xdr:col>106</xdr:col>
      <xdr:colOff>0</xdr:colOff>
      <xdr:row>34</xdr:row>
      <xdr:rowOff>142875</xdr:rowOff>
    </xdr:to>
    <xdr:sp macro="" textlink="">
      <xdr:nvSpPr>
        <xdr:cNvPr id="316825" name="Rectangle 27"/>
        <xdr:cNvSpPr>
          <a:spLocks noChangeArrowheads="1"/>
        </xdr:cNvSpPr>
      </xdr:nvSpPr>
      <xdr:spPr bwMode="auto">
        <a:xfrm>
          <a:off x="78181200" y="737235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1571625</xdr:colOff>
      <xdr:row>31</xdr:row>
      <xdr:rowOff>190500</xdr:rowOff>
    </xdr:from>
    <xdr:to>
      <xdr:col>106</xdr:col>
      <xdr:colOff>0</xdr:colOff>
      <xdr:row>32</xdr:row>
      <xdr:rowOff>142875</xdr:rowOff>
    </xdr:to>
    <xdr:sp macro="" textlink="">
      <xdr:nvSpPr>
        <xdr:cNvPr id="316826" name="Rectangle 28"/>
        <xdr:cNvSpPr>
          <a:spLocks noChangeArrowheads="1"/>
        </xdr:cNvSpPr>
      </xdr:nvSpPr>
      <xdr:spPr bwMode="auto">
        <a:xfrm>
          <a:off x="78181200" y="69627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1571625</xdr:colOff>
      <xdr:row>38</xdr:row>
      <xdr:rowOff>161925</xdr:rowOff>
    </xdr:from>
    <xdr:to>
      <xdr:col>106</xdr:col>
      <xdr:colOff>0</xdr:colOff>
      <xdr:row>39</xdr:row>
      <xdr:rowOff>123825</xdr:rowOff>
    </xdr:to>
    <xdr:sp macro="" textlink="">
      <xdr:nvSpPr>
        <xdr:cNvPr id="316827" name="Rectangle 27"/>
        <xdr:cNvSpPr>
          <a:spLocks noChangeArrowheads="1"/>
        </xdr:cNvSpPr>
      </xdr:nvSpPr>
      <xdr:spPr bwMode="auto">
        <a:xfrm>
          <a:off x="78181200" y="83343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1571625</xdr:colOff>
      <xdr:row>36</xdr:row>
      <xdr:rowOff>142875</xdr:rowOff>
    </xdr:from>
    <xdr:to>
      <xdr:col>106</xdr:col>
      <xdr:colOff>0</xdr:colOff>
      <xdr:row>37</xdr:row>
      <xdr:rowOff>95250</xdr:rowOff>
    </xdr:to>
    <xdr:sp macro="" textlink="">
      <xdr:nvSpPr>
        <xdr:cNvPr id="316828" name="Rectangle 28"/>
        <xdr:cNvSpPr>
          <a:spLocks noChangeArrowheads="1"/>
        </xdr:cNvSpPr>
      </xdr:nvSpPr>
      <xdr:spPr bwMode="auto">
        <a:xfrm>
          <a:off x="78181200" y="7915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1571625</xdr:colOff>
      <xdr:row>43</xdr:row>
      <xdr:rowOff>123825</xdr:rowOff>
    </xdr:from>
    <xdr:to>
      <xdr:col>106</xdr:col>
      <xdr:colOff>0</xdr:colOff>
      <xdr:row>44</xdr:row>
      <xdr:rowOff>66675</xdr:rowOff>
    </xdr:to>
    <xdr:sp macro="" textlink="">
      <xdr:nvSpPr>
        <xdr:cNvPr id="316829" name="Rectangle 27"/>
        <xdr:cNvSpPr>
          <a:spLocks noChangeArrowheads="1"/>
        </xdr:cNvSpPr>
      </xdr:nvSpPr>
      <xdr:spPr bwMode="auto">
        <a:xfrm>
          <a:off x="78181200" y="92964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1571625</xdr:colOff>
      <xdr:row>41</xdr:row>
      <xdr:rowOff>76200</xdr:rowOff>
    </xdr:from>
    <xdr:to>
      <xdr:col>106</xdr:col>
      <xdr:colOff>0</xdr:colOff>
      <xdr:row>42</xdr:row>
      <xdr:rowOff>38100</xdr:rowOff>
    </xdr:to>
    <xdr:sp macro="" textlink="">
      <xdr:nvSpPr>
        <xdr:cNvPr id="316830" name="Rectangle 28"/>
        <xdr:cNvSpPr>
          <a:spLocks noChangeArrowheads="1"/>
        </xdr:cNvSpPr>
      </xdr:nvSpPr>
      <xdr:spPr bwMode="auto">
        <a:xfrm>
          <a:off x="78181200" y="88487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1571625</xdr:colOff>
      <xdr:row>48</xdr:row>
      <xdr:rowOff>57150</xdr:rowOff>
    </xdr:from>
    <xdr:to>
      <xdr:col>106</xdr:col>
      <xdr:colOff>0</xdr:colOff>
      <xdr:row>49</xdr:row>
      <xdr:rowOff>9525</xdr:rowOff>
    </xdr:to>
    <xdr:sp macro="" textlink="">
      <xdr:nvSpPr>
        <xdr:cNvPr id="316831" name="Rectangle 27"/>
        <xdr:cNvSpPr>
          <a:spLocks noChangeArrowheads="1"/>
        </xdr:cNvSpPr>
      </xdr:nvSpPr>
      <xdr:spPr bwMode="auto">
        <a:xfrm>
          <a:off x="78181200" y="102298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1571625</xdr:colOff>
      <xdr:row>48</xdr:row>
      <xdr:rowOff>38100</xdr:rowOff>
    </xdr:from>
    <xdr:to>
      <xdr:col>106</xdr:col>
      <xdr:colOff>0</xdr:colOff>
      <xdr:row>48</xdr:row>
      <xdr:rowOff>190500</xdr:rowOff>
    </xdr:to>
    <xdr:sp macro="" textlink="">
      <xdr:nvSpPr>
        <xdr:cNvPr id="316832" name="Rectangle 28"/>
        <xdr:cNvSpPr>
          <a:spLocks noChangeArrowheads="1"/>
        </xdr:cNvSpPr>
      </xdr:nvSpPr>
      <xdr:spPr bwMode="auto">
        <a:xfrm>
          <a:off x="78181200" y="102108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1571625</xdr:colOff>
      <xdr:row>5</xdr:row>
      <xdr:rowOff>95250</xdr:rowOff>
    </xdr:from>
    <xdr:to>
      <xdr:col>106</xdr:col>
      <xdr:colOff>0</xdr:colOff>
      <xdr:row>6</xdr:row>
      <xdr:rowOff>57150</xdr:rowOff>
    </xdr:to>
    <xdr:sp macro="" textlink="">
      <xdr:nvSpPr>
        <xdr:cNvPr id="316833" name="Rectangle 27"/>
        <xdr:cNvSpPr>
          <a:spLocks noChangeArrowheads="1"/>
        </xdr:cNvSpPr>
      </xdr:nvSpPr>
      <xdr:spPr bwMode="auto">
        <a:xfrm>
          <a:off x="78181200" y="16668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1571625</xdr:colOff>
      <xdr:row>3</xdr:row>
      <xdr:rowOff>66675</xdr:rowOff>
    </xdr:from>
    <xdr:to>
      <xdr:col>106</xdr:col>
      <xdr:colOff>0</xdr:colOff>
      <xdr:row>4</xdr:row>
      <xdr:rowOff>9525</xdr:rowOff>
    </xdr:to>
    <xdr:sp macro="" textlink="">
      <xdr:nvSpPr>
        <xdr:cNvPr id="316834" name="Rectangle 28"/>
        <xdr:cNvSpPr>
          <a:spLocks noChangeArrowheads="1"/>
        </xdr:cNvSpPr>
      </xdr:nvSpPr>
      <xdr:spPr bwMode="auto">
        <a:xfrm>
          <a:off x="78181200" y="123825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1571625</xdr:colOff>
      <xdr:row>31</xdr:row>
      <xdr:rowOff>38100</xdr:rowOff>
    </xdr:from>
    <xdr:to>
      <xdr:col>106</xdr:col>
      <xdr:colOff>0</xdr:colOff>
      <xdr:row>31</xdr:row>
      <xdr:rowOff>190500</xdr:rowOff>
    </xdr:to>
    <xdr:sp macro="" textlink="">
      <xdr:nvSpPr>
        <xdr:cNvPr id="316835" name="Rectangle 27"/>
        <xdr:cNvSpPr>
          <a:spLocks noChangeArrowheads="1"/>
        </xdr:cNvSpPr>
      </xdr:nvSpPr>
      <xdr:spPr bwMode="auto">
        <a:xfrm>
          <a:off x="78181200" y="68103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1571625</xdr:colOff>
      <xdr:row>4</xdr:row>
      <xdr:rowOff>9525</xdr:rowOff>
    </xdr:from>
    <xdr:to>
      <xdr:col>106</xdr:col>
      <xdr:colOff>0</xdr:colOff>
      <xdr:row>4</xdr:row>
      <xdr:rowOff>171450</xdr:rowOff>
    </xdr:to>
    <xdr:sp macro="" textlink="">
      <xdr:nvSpPr>
        <xdr:cNvPr id="316836" name="Rectangle 28"/>
        <xdr:cNvSpPr>
          <a:spLocks noChangeArrowheads="1"/>
        </xdr:cNvSpPr>
      </xdr:nvSpPr>
      <xdr:spPr bwMode="auto">
        <a:xfrm>
          <a:off x="78181200" y="1381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1571625</xdr:colOff>
      <xdr:row>14</xdr:row>
      <xdr:rowOff>190500</xdr:rowOff>
    </xdr:from>
    <xdr:to>
      <xdr:col>106</xdr:col>
      <xdr:colOff>0</xdr:colOff>
      <xdr:row>15</xdr:row>
      <xdr:rowOff>142875</xdr:rowOff>
    </xdr:to>
    <xdr:sp macro="" textlink="">
      <xdr:nvSpPr>
        <xdr:cNvPr id="316837" name="Rectangle 27"/>
        <xdr:cNvSpPr>
          <a:spLocks noChangeArrowheads="1"/>
        </xdr:cNvSpPr>
      </xdr:nvSpPr>
      <xdr:spPr bwMode="auto">
        <a:xfrm>
          <a:off x="78181200" y="3562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1571625</xdr:colOff>
      <xdr:row>12</xdr:row>
      <xdr:rowOff>190500</xdr:rowOff>
    </xdr:from>
    <xdr:to>
      <xdr:col>106</xdr:col>
      <xdr:colOff>0</xdr:colOff>
      <xdr:row>13</xdr:row>
      <xdr:rowOff>133350</xdr:rowOff>
    </xdr:to>
    <xdr:sp macro="" textlink="">
      <xdr:nvSpPr>
        <xdr:cNvPr id="316838" name="Rectangle 28"/>
        <xdr:cNvSpPr>
          <a:spLocks noChangeArrowheads="1"/>
        </xdr:cNvSpPr>
      </xdr:nvSpPr>
      <xdr:spPr bwMode="auto">
        <a:xfrm>
          <a:off x="78181200" y="31623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1571625</xdr:colOff>
      <xdr:row>19</xdr:row>
      <xdr:rowOff>142875</xdr:rowOff>
    </xdr:from>
    <xdr:to>
      <xdr:col>106</xdr:col>
      <xdr:colOff>0</xdr:colOff>
      <xdr:row>20</xdr:row>
      <xdr:rowOff>104775</xdr:rowOff>
    </xdr:to>
    <xdr:sp macro="" textlink="">
      <xdr:nvSpPr>
        <xdr:cNvPr id="316839" name="Rectangle 27"/>
        <xdr:cNvSpPr>
          <a:spLocks noChangeArrowheads="1"/>
        </xdr:cNvSpPr>
      </xdr:nvSpPr>
      <xdr:spPr bwMode="auto">
        <a:xfrm>
          <a:off x="78181200" y="451485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1571625</xdr:colOff>
      <xdr:row>17</xdr:row>
      <xdr:rowOff>133350</xdr:rowOff>
    </xdr:from>
    <xdr:to>
      <xdr:col>106</xdr:col>
      <xdr:colOff>0</xdr:colOff>
      <xdr:row>18</xdr:row>
      <xdr:rowOff>76200</xdr:rowOff>
    </xdr:to>
    <xdr:sp macro="" textlink="">
      <xdr:nvSpPr>
        <xdr:cNvPr id="316840" name="Rectangle 28"/>
        <xdr:cNvSpPr>
          <a:spLocks noChangeArrowheads="1"/>
        </xdr:cNvSpPr>
      </xdr:nvSpPr>
      <xdr:spPr bwMode="auto">
        <a:xfrm>
          <a:off x="78181200" y="4105275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1571625</xdr:colOff>
      <xdr:row>24</xdr:row>
      <xdr:rowOff>104775</xdr:rowOff>
    </xdr:from>
    <xdr:to>
      <xdr:col>106</xdr:col>
      <xdr:colOff>0</xdr:colOff>
      <xdr:row>25</xdr:row>
      <xdr:rowOff>57150</xdr:rowOff>
    </xdr:to>
    <xdr:sp macro="" textlink="">
      <xdr:nvSpPr>
        <xdr:cNvPr id="316841" name="Rectangle 27"/>
        <xdr:cNvSpPr>
          <a:spLocks noChangeArrowheads="1"/>
        </xdr:cNvSpPr>
      </xdr:nvSpPr>
      <xdr:spPr bwMode="auto">
        <a:xfrm>
          <a:off x="78181200" y="54768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1571625</xdr:colOff>
      <xdr:row>22</xdr:row>
      <xdr:rowOff>76200</xdr:rowOff>
    </xdr:from>
    <xdr:to>
      <xdr:col>106</xdr:col>
      <xdr:colOff>0</xdr:colOff>
      <xdr:row>23</xdr:row>
      <xdr:rowOff>28575</xdr:rowOff>
    </xdr:to>
    <xdr:sp macro="" textlink="">
      <xdr:nvSpPr>
        <xdr:cNvPr id="316842" name="Rectangle 28"/>
        <xdr:cNvSpPr>
          <a:spLocks noChangeArrowheads="1"/>
        </xdr:cNvSpPr>
      </xdr:nvSpPr>
      <xdr:spPr bwMode="auto">
        <a:xfrm>
          <a:off x="78181200" y="50482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1571625</xdr:colOff>
      <xdr:row>12</xdr:row>
      <xdr:rowOff>57150</xdr:rowOff>
    </xdr:from>
    <xdr:to>
      <xdr:col>106</xdr:col>
      <xdr:colOff>0</xdr:colOff>
      <xdr:row>12</xdr:row>
      <xdr:rowOff>200025</xdr:rowOff>
    </xdr:to>
    <xdr:sp macro="" textlink="">
      <xdr:nvSpPr>
        <xdr:cNvPr id="316843" name="Rectangle 27"/>
        <xdr:cNvSpPr>
          <a:spLocks noChangeArrowheads="1"/>
        </xdr:cNvSpPr>
      </xdr:nvSpPr>
      <xdr:spPr bwMode="auto">
        <a:xfrm>
          <a:off x="78181200" y="302895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1571625</xdr:colOff>
      <xdr:row>44</xdr:row>
      <xdr:rowOff>28575</xdr:rowOff>
    </xdr:from>
    <xdr:to>
      <xdr:col>106</xdr:col>
      <xdr:colOff>0</xdr:colOff>
      <xdr:row>44</xdr:row>
      <xdr:rowOff>190500</xdr:rowOff>
    </xdr:to>
    <xdr:sp macro="" textlink="">
      <xdr:nvSpPr>
        <xdr:cNvPr id="316844" name="Rectangle 28"/>
        <xdr:cNvSpPr>
          <a:spLocks noChangeArrowheads="1"/>
        </xdr:cNvSpPr>
      </xdr:nvSpPr>
      <xdr:spPr bwMode="auto">
        <a:xfrm>
          <a:off x="78181200" y="94011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1571625</xdr:colOff>
      <xdr:row>34</xdr:row>
      <xdr:rowOff>0</xdr:rowOff>
    </xdr:from>
    <xdr:to>
      <xdr:col>106</xdr:col>
      <xdr:colOff>0</xdr:colOff>
      <xdr:row>34</xdr:row>
      <xdr:rowOff>142875</xdr:rowOff>
    </xdr:to>
    <xdr:sp macro="" textlink="">
      <xdr:nvSpPr>
        <xdr:cNvPr id="316845" name="Rectangle 27"/>
        <xdr:cNvSpPr>
          <a:spLocks noChangeArrowheads="1"/>
        </xdr:cNvSpPr>
      </xdr:nvSpPr>
      <xdr:spPr bwMode="auto">
        <a:xfrm>
          <a:off x="78181200" y="737235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1571625</xdr:colOff>
      <xdr:row>31</xdr:row>
      <xdr:rowOff>190500</xdr:rowOff>
    </xdr:from>
    <xdr:to>
      <xdr:col>106</xdr:col>
      <xdr:colOff>0</xdr:colOff>
      <xdr:row>32</xdr:row>
      <xdr:rowOff>142875</xdr:rowOff>
    </xdr:to>
    <xdr:sp macro="" textlink="">
      <xdr:nvSpPr>
        <xdr:cNvPr id="316846" name="Rectangle 28"/>
        <xdr:cNvSpPr>
          <a:spLocks noChangeArrowheads="1"/>
        </xdr:cNvSpPr>
      </xdr:nvSpPr>
      <xdr:spPr bwMode="auto">
        <a:xfrm>
          <a:off x="78181200" y="69627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1571625</xdr:colOff>
      <xdr:row>38</xdr:row>
      <xdr:rowOff>161925</xdr:rowOff>
    </xdr:from>
    <xdr:to>
      <xdr:col>106</xdr:col>
      <xdr:colOff>0</xdr:colOff>
      <xdr:row>39</xdr:row>
      <xdr:rowOff>123825</xdr:rowOff>
    </xdr:to>
    <xdr:sp macro="" textlink="">
      <xdr:nvSpPr>
        <xdr:cNvPr id="316847" name="Rectangle 27"/>
        <xdr:cNvSpPr>
          <a:spLocks noChangeArrowheads="1"/>
        </xdr:cNvSpPr>
      </xdr:nvSpPr>
      <xdr:spPr bwMode="auto">
        <a:xfrm>
          <a:off x="78181200" y="83343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1571625</xdr:colOff>
      <xdr:row>36</xdr:row>
      <xdr:rowOff>142875</xdr:rowOff>
    </xdr:from>
    <xdr:to>
      <xdr:col>106</xdr:col>
      <xdr:colOff>0</xdr:colOff>
      <xdr:row>37</xdr:row>
      <xdr:rowOff>95250</xdr:rowOff>
    </xdr:to>
    <xdr:sp macro="" textlink="">
      <xdr:nvSpPr>
        <xdr:cNvPr id="316848" name="Rectangle 28"/>
        <xdr:cNvSpPr>
          <a:spLocks noChangeArrowheads="1"/>
        </xdr:cNvSpPr>
      </xdr:nvSpPr>
      <xdr:spPr bwMode="auto">
        <a:xfrm>
          <a:off x="78181200" y="7915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1571625</xdr:colOff>
      <xdr:row>43</xdr:row>
      <xdr:rowOff>123825</xdr:rowOff>
    </xdr:from>
    <xdr:to>
      <xdr:col>106</xdr:col>
      <xdr:colOff>0</xdr:colOff>
      <xdr:row>44</xdr:row>
      <xdr:rowOff>66675</xdr:rowOff>
    </xdr:to>
    <xdr:sp macro="" textlink="">
      <xdr:nvSpPr>
        <xdr:cNvPr id="316849" name="Rectangle 27"/>
        <xdr:cNvSpPr>
          <a:spLocks noChangeArrowheads="1"/>
        </xdr:cNvSpPr>
      </xdr:nvSpPr>
      <xdr:spPr bwMode="auto">
        <a:xfrm>
          <a:off x="78181200" y="92964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1571625</xdr:colOff>
      <xdr:row>41</xdr:row>
      <xdr:rowOff>76200</xdr:rowOff>
    </xdr:from>
    <xdr:to>
      <xdr:col>106</xdr:col>
      <xdr:colOff>0</xdr:colOff>
      <xdr:row>42</xdr:row>
      <xdr:rowOff>38100</xdr:rowOff>
    </xdr:to>
    <xdr:sp macro="" textlink="">
      <xdr:nvSpPr>
        <xdr:cNvPr id="316850" name="Rectangle 28"/>
        <xdr:cNvSpPr>
          <a:spLocks noChangeArrowheads="1"/>
        </xdr:cNvSpPr>
      </xdr:nvSpPr>
      <xdr:spPr bwMode="auto">
        <a:xfrm>
          <a:off x="78181200" y="88487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1571625</xdr:colOff>
      <xdr:row>48</xdr:row>
      <xdr:rowOff>57150</xdr:rowOff>
    </xdr:from>
    <xdr:to>
      <xdr:col>106</xdr:col>
      <xdr:colOff>0</xdr:colOff>
      <xdr:row>49</xdr:row>
      <xdr:rowOff>9525</xdr:rowOff>
    </xdr:to>
    <xdr:sp macro="" textlink="">
      <xdr:nvSpPr>
        <xdr:cNvPr id="316851" name="Rectangle 27"/>
        <xdr:cNvSpPr>
          <a:spLocks noChangeArrowheads="1"/>
        </xdr:cNvSpPr>
      </xdr:nvSpPr>
      <xdr:spPr bwMode="auto">
        <a:xfrm>
          <a:off x="78181200" y="102298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1571625</xdr:colOff>
      <xdr:row>48</xdr:row>
      <xdr:rowOff>38100</xdr:rowOff>
    </xdr:from>
    <xdr:to>
      <xdr:col>106</xdr:col>
      <xdr:colOff>0</xdr:colOff>
      <xdr:row>48</xdr:row>
      <xdr:rowOff>190500</xdr:rowOff>
    </xdr:to>
    <xdr:sp macro="" textlink="">
      <xdr:nvSpPr>
        <xdr:cNvPr id="316852" name="Rectangle 28"/>
        <xdr:cNvSpPr>
          <a:spLocks noChangeArrowheads="1"/>
        </xdr:cNvSpPr>
      </xdr:nvSpPr>
      <xdr:spPr bwMode="auto">
        <a:xfrm>
          <a:off x="78181200" y="102108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1571625</xdr:colOff>
      <xdr:row>4</xdr:row>
      <xdr:rowOff>57150</xdr:rowOff>
    </xdr:from>
    <xdr:to>
      <xdr:col>106</xdr:col>
      <xdr:colOff>0</xdr:colOff>
      <xdr:row>5</xdr:row>
      <xdr:rowOff>9525</xdr:rowOff>
    </xdr:to>
    <xdr:sp macro="" textlink="">
      <xdr:nvSpPr>
        <xdr:cNvPr id="316853" name="Rectangle 28"/>
        <xdr:cNvSpPr>
          <a:spLocks noChangeArrowheads="1"/>
        </xdr:cNvSpPr>
      </xdr:nvSpPr>
      <xdr:spPr bwMode="auto">
        <a:xfrm>
          <a:off x="78181200" y="14287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1571625</xdr:colOff>
      <xdr:row>4</xdr:row>
      <xdr:rowOff>57150</xdr:rowOff>
    </xdr:from>
    <xdr:to>
      <xdr:col>106</xdr:col>
      <xdr:colOff>0</xdr:colOff>
      <xdr:row>5</xdr:row>
      <xdr:rowOff>9525</xdr:rowOff>
    </xdr:to>
    <xdr:sp macro="" textlink="">
      <xdr:nvSpPr>
        <xdr:cNvPr id="316854" name="Rectangle 28"/>
        <xdr:cNvSpPr>
          <a:spLocks noChangeArrowheads="1"/>
        </xdr:cNvSpPr>
      </xdr:nvSpPr>
      <xdr:spPr bwMode="auto">
        <a:xfrm>
          <a:off x="78181200" y="14287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1571625</xdr:colOff>
      <xdr:row>4</xdr:row>
      <xdr:rowOff>57150</xdr:rowOff>
    </xdr:from>
    <xdr:to>
      <xdr:col>106</xdr:col>
      <xdr:colOff>0</xdr:colOff>
      <xdr:row>5</xdr:row>
      <xdr:rowOff>9525</xdr:rowOff>
    </xdr:to>
    <xdr:sp macro="" textlink="">
      <xdr:nvSpPr>
        <xdr:cNvPr id="316855" name="Rectangle 28"/>
        <xdr:cNvSpPr>
          <a:spLocks noChangeArrowheads="1"/>
        </xdr:cNvSpPr>
      </xdr:nvSpPr>
      <xdr:spPr bwMode="auto">
        <a:xfrm>
          <a:off x="78181200" y="14287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1571625</xdr:colOff>
      <xdr:row>4</xdr:row>
      <xdr:rowOff>57150</xdr:rowOff>
    </xdr:from>
    <xdr:to>
      <xdr:col>106</xdr:col>
      <xdr:colOff>0</xdr:colOff>
      <xdr:row>5</xdr:row>
      <xdr:rowOff>9525</xdr:rowOff>
    </xdr:to>
    <xdr:sp macro="" textlink="">
      <xdr:nvSpPr>
        <xdr:cNvPr id="316856" name="Rectangle 28"/>
        <xdr:cNvSpPr>
          <a:spLocks noChangeArrowheads="1"/>
        </xdr:cNvSpPr>
      </xdr:nvSpPr>
      <xdr:spPr bwMode="auto">
        <a:xfrm>
          <a:off x="78181200" y="14287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1571625</xdr:colOff>
      <xdr:row>4</xdr:row>
      <xdr:rowOff>57150</xdr:rowOff>
    </xdr:from>
    <xdr:to>
      <xdr:col>106</xdr:col>
      <xdr:colOff>0</xdr:colOff>
      <xdr:row>5</xdr:row>
      <xdr:rowOff>9525</xdr:rowOff>
    </xdr:to>
    <xdr:sp macro="" textlink="">
      <xdr:nvSpPr>
        <xdr:cNvPr id="316857" name="Rectangle 28"/>
        <xdr:cNvSpPr>
          <a:spLocks noChangeArrowheads="1"/>
        </xdr:cNvSpPr>
      </xdr:nvSpPr>
      <xdr:spPr bwMode="auto">
        <a:xfrm>
          <a:off x="78181200" y="14287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1571625</xdr:colOff>
      <xdr:row>4</xdr:row>
      <xdr:rowOff>57150</xdr:rowOff>
    </xdr:from>
    <xdr:to>
      <xdr:col>106</xdr:col>
      <xdr:colOff>0</xdr:colOff>
      <xdr:row>5</xdr:row>
      <xdr:rowOff>9525</xdr:rowOff>
    </xdr:to>
    <xdr:sp macro="" textlink="">
      <xdr:nvSpPr>
        <xdr:cNvPr id="316858" name="Rectangle 28"/>
        <xdr:cNvSpPr>
          <a:spLocks noChangeArrowheads="1"/>
        </xdr:cNvSpPr>
      </xdr:nvSpPr>
      <xdr:spPr bwMode="auto">
        <a:xfrm>
          <a:off x="78181200" y="14287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1571625</xdr:colOff>
      <xdr:row>5</xdr:row>
      <xdr:rowOff>57150</xdr:rowOff>
    </xdr:from>
    <xdr:to>
      <xdr:col>106</xdr:col>
      <xdr:colOff>0</xdr:colOff>
      <xdr:row>6</xdr:row>
      <xdr:rowOff>9525</xdr:rowOff>
    </xdr:to>
    <xdr:sp macro="" textlink="">
      <xdr:nvSpPr>
        <xdr:cNvPr id="316859" name="Rectangle 28"/>
        <xdr:cNvSpPr>
          <a:spLocks noChangeArrowheads="1"/>
        </xdr:cNvSpPr>
      </xdr:nvSpPr>
      <xdr:spPr bwMode="auto">
        <a:xfrm>
          <a:off x="78181200" y="16287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1571625</xdr:colOff>
      <xdr:row>5</xdr:row>
      <xdr:rowOff>57150</xdr:rowOff>
    </xdr:from>
    <xdr:to>
      <xdr:col>106</xdr:col>
      <xdr:colOff>0</xdr:colOff>
      <xdr:row>6</xdr:row>
      <xdr:rowOff>9525</xdr:rowOff>
    </xdr:to>
    <xdr:sp macro="" textlink="">
      <xdr:nvSpPr>
        <xdr:cNvPr id="316860" name="Rectangle 28"/>
        <xdr:cNvSpPr>
          <a:spLocks noChangeArrowheads="1"/>
        </xdr:cNvSpPr>
      </xdr:nvSpPr>
      <xdr:spPr bwMode="auto">
        <a:xfrm>
          <a:off x="78181200" y="16287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1571625</xdr:colOff>
      <xdr:row>5</xdr:row>
      <xdr:rowOff>57150</xdr:rowOff>
    </xdr:from>
    <xdr:to>
      <xdr:col>106</xdr:col>
      <xdr:colOff>0</xdr:colOff>
      <xdr:row>6</xdr:row>
      <xdr:rowOff>9525</xdr:rowOff>
    </xdr:to>
    <xdr:sp macro="" textlink="">
      <xdr:nvSpPr>
        <xdr:cNvPr id="316861" name="Rectangle 28"/>
        <xdr:cNvSpPr>
          <a:spLocks noChangeArrowheads="1"/>
        </xdr:cNvSpPr>
      </xdr:nvSpPr>
      <xdr:spPr bwMode="auto">
        <a:xfrm>
          <a:off x="78181200" y="16287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1571625</xdr:colOff>
      <xdr:row>5</xdr:row>
      <xdr:rowOff>57150</xdr:rowOff>
    </xdr:from>
    <xdr:to>
      <xdr:col>106</xdr:col>
      <xdr:colOff>0</xdr:colOff>
      <xdr:row>6</xdr:row>
      <xdr:rowOff>9525</xdr:rowOff>
    </xdr:to>
    <xdr:sp macro="" textlink="">
      <xdr:nvSpPr>
        <xdr:cNvPr id="316862" name="Rectangle 28"/>
        <xdr:cNvSpPr>
          <a:spLocks noChangeArrowheads="1"/>
        </xdr:cNvSpPr>
      </xdr:nvSpPr>
      <xdr:spPr bwMode="auto">
        <a:xfrm>
          <a:off x="78181200" y="16287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1571625</xdr:colOff>
      <xdr:row>5</xdr:row>
      <xdr:rowOff>57150</xdr:rowOff>
    </xdr:from>
    <xdr:to>
      <xdr:col>106</xdr:col>
      <xdr:colOff>0</xdr:colOff>
      <xdr:row>6</xdr:row>
      <xdr:rowOff>9525</xdr:rowOff>
    </xdr:to>
    <xdr:sp macro="" textlink="">
      <xdr:nvSpPr>
        <xdr:cNvPr id="316863" name="Rectangle 28"/>
        <xdr:cNvSpPr>
          <a:spLocks noChangeArrowheads="1"/>
        </xdr:cNvSpPr>
      </xdr:nvSpPr>
      <xdr:spPr bwMode="auto">
        <a:xfrm>
          <a:off x="78181200" y="16287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1571625</xdr:colOff>
      <xdr:row>5</xdr:row>
      <xdr:rowOff>57150</xdr:rowOff>
    </xdr:from>
    <xdr:to>
      <xdr:col>106</xdr:col>
      <xdr:colOff>0</xdr:colOff>
      <xdr:row>6</xdr:row>
      <xdr:rowOff>9525</xdr:rowOff>
    </xdr:to>
    <xdr:sp macro="" textlink="">
      <xdr:nvSpPr>
        <xdr:cNvPr id="316864" name="Rectangle 28"/>
        <xdr:cNvSpPr>
          <a:spLocks noChangeArrowheads="1"/>
        </xdr:cNvSpPr>
      </xdr:nvSpPr>
      <xdr:spPr bwMode="auto">
        <a:xfrm>
          <a:off x="78181200" y="16287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1571625</xdr:colOff>
      <xdr:row>23</xdr:row>
      <xdr:rowOff>57150</xdr:rowOff>
    </xdr:from>
    <xdr:to>
      <xdr:col>106</xdr:col>
      <xdr:colOff>0</xdr:colOff>
      <xdr:row>23</xdr:row>
      <xdr:rowOff>200025</xdr:rowOff>
    </xdr:to>
    <xdr:sp macro="" textlink="">
      <xdr:nvSpPr>
        <xdr:cNvPr id="316865" name="Rectangle 28"/>
        <xdr:cNvSpPr>
          <a:spLocks noChangeArrowheads="1"/>
        </xdr:cNvSpPr>
      </xdr:nvSpPr>
      <xdr:spPr bwMode="auto">
        <a:xfrm>
          <a:off x="78181200" y="5229225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1571625</xdr:colOff>
      <xdr:row>23</xdr:row>
      <xdr:rowOff>57150</xdr:rowOff>
    </xdr:from>
    <xdr:to>
      <xdr:col>106</xdr:col>
      <xdr:colOff>0</xdr:colOff>
      <xdr:row>23</xdr:row>
      <xdr:rowOff>200025</xdr:rowOff>
    </xdr:to>
    <xdr:sp macro="" textlink="">
      <xdr:nvSpPr>
        <xdr:cNvPr id="316866" name="Rectangle 28"/>
        <xdr:cNvSpPr>
          <a:spLocks noChangeArrowheads="1"/>
        </xdr:cNvSpPr>
      </xdr:nvSpPr>
      <xdr:spPr bwMode="auto">
        <a:xfrm>
          <a:off x="78181200" y="5229225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1571625</xdr:colOff>
      <xdr:row>23</xdr:row>
      <xdr:rowOff>57150</xdr:rowOff>
    </xdr:from>
    <xdr:to>
      <xdr:col>106</xdr:col>
      <xdr:colOff>0</xdr:colOff>
      <xdr:row>23</xdr:row>
      <xdr:rowOff>200025</xdr:rowOff>
    </xdr:to>
    <xdr:sp macro="" textlink="">
      <xdr:nvSpPr>
        <xdr:cNvPr id="316867" name="Rectangle 28"/>
        <xdr:cNvSpPr>
          <a:spLocks noChangeArrowheads="1"/>
        </xdr:cNvSpPr>
      </xdr:nvSpPr>
      <xdr:spPr bwMode="auto">
        <a:xfrm>
          <a:off x="78181200" y="5229225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1571625</xdr:colOff>
      <xdr:row>23</xdr:row>
      <xdr:rowOff>57150</xdr:rowOff>
    </xdr:from>
    <xdr:to>
      <xdr:col>106</xdr:col>
      <xdr:colOff>0</xdr:colOff>
      <xdr:row>23</xdr:row>
      <xdr:rowOff>200025</xdr:rowOff>
    </xdr:to>
    <xdr:sp macro="" textlink="">
      <xdr:nvSpPr>
        <xdr:cNvPr id="316868" name="Rectangle 28"/>
        <xdr:cNvSpPr>
          <a:spLocks noChangeArrowheads="1"/>
        </xdr:cNvSpPr>
      </xdr:nvSpPr>
      <xdr:spPr bwMode="auto">
        <a:xfrm>
          <a:off x="78181200" y="5229225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1571625</xdr:colOff>
      <xdr:row>23</xdr:row>
      <xdr:rowOff>57150</xdr:rowOff>
    </xdr:from>
    <xdr:to>
      <xdr:col>106</xdr:col>
      <xdr:colOff>0</xdr:colOff>
      <xdr:row>23</xdr:row>
      <xdr:rowOff>200025</xdr:rowOff>
    </xdr:to>
    <xdr:sp macro="" textlink="">
      <xdr:nvSpPr>
        <xdr:cNvPr id="316869" name="Rectangle 28"/>
        <xdr:cNvSpPr>
          <a:spLocks noChangeArrowheads="1"/>
        </xdr:cNvSpPr>
      </xdr:nvSpPr>
      <xdr:spPr bwMode="auto">
        <a:xfrm>
          <a:off x="78181200" y="5229225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1571625</xdr:colOff>
      <xdr:row>23</xdr:row>
      <xdr:rowOff>57150</xdr:rowOff>
    </xdr:from>
    <xdr:to>
      <xdr:col>106</xdr:col>
      <xdr:colOff>0</xdr:colOff>
      <xdr:row>23</xdr:row>
      <xdr:rowOff>200025</xdr:rowOff>
    </xdr:to>
    <xdr:sp macro="" textlink="">
      <xdr:nvSpPr>
        <xdr:cNvPr id="316870" name="Rectangle 28"/>
        <xdr:cNvSpPr>
          <a:spLocks noChangeArrowheads="1"/>
        </xdr:cNvSpPr>
      </xdr:nvSpPr>
      <xdr:spPr bwMode="auto">
        <a:xfrm>
          <a:off x="78181200" y="5229225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1571625</xdr:colOff>
      <xdr:row>49</xdr:row>
      <xdr:rowOff>28575</xdr:rowOff>
    </xdr:from>
    <xdr:to>
      <xdr:col>106</xdr:col>
      <xdr:colOff>0</xdr:colOff>
      <xdr:row>49</xdr:row>
      <xdr:rowOff>190500</xdr:rowOff>
    </xdr:to>
    <xdr:sp macro="" textlink="">
      <xdr:nvSpPr>
        <xdr:cNvPr id="316871" name="Rectangle 28"/>
        <xdr:cNvSpPr>
          <a:spLocks noChangeArrowheads="1"/>
        </xdr:cNvSpPr>
      </xdr:nvSpPr>
      <xdr:spPr bwMode="auto">
        <a:xfrm>
          <a:off x="78181200" y="1040130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1571625</xdr:colOff>
      <xdr:row>49</xdr:row>
      <xdr:rowOff>28575</xdr:rowOff>
    </xdr:from>
    <xdr:to>
      <xdr:col>106</xdr:col>
      <xdr:colOff>0</xdr:colOff>
      <xdr:row>49</xdr:row>
      <xdr:rowOff>190500</xdr:rowOff>
    </xdr:to>
    <xdr:sp macro="" textlink="">
      <xdr:nvSpPr>
        <xdr:cNvPr id="316872" name="Rectangle 28"/>
        <xdr:cNvSpPr>
          <a:spLocks noChangeArrowheads="1"/>
        </xdr:cNvSpPr>
      </xdr:nvSpPr>
      <xdr:spPr bwMode="auto">
        <a:xfrm>
          <a:off x="78181200" y="1040130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1571625</xdr:colOff>
      <xdr:row>49</xdr:row>
      <xdr:rowOff>28575</xdr:rowOff>
    </xdr:from>
    <xdr:to>
      <xdr:col>106</xdr:col>
      <xdr:colOff>0</xdr:colOff>
      <xdr:row>49</xdr:row>
      <xdr:rowOff>190500</xdr:rowOff>
    </xdr:to>
    <xdr:sp macro="" textlink="">
      <xdr:nvSpPr>
        <xdr:cNvPr id="316873" name="Rectangle 28"/>
        <xdr:cNvSpPr>
          <a:spLocks noChangeArrowheads="1"/>
        </xdr:cNvSpPr>
      </xdr:nvSpPr>
      <xdr:spPr bwMode="auto">
        <a:xfrm>
          <a:off x="78181200" y="1040130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1571625</xdr:colOff>
      <xdr:row>49</xdr:row>
      <xdr:rowOff>28575</xdr:rowOff>
    </xdr:from>
    <xdr:to>
      <xdr:col>106</xdr:col>
      <xdr:colOff>0</xdr:colOff>
      <xdr:row>49</xdr:row>
      <xdr:rowOff>190500</xdr:rowOff>
    </xdr:to>
    <xdr:sp macro="" textlink="">
      <xdr:nvSpPr>
        <xdr:cNvPr id="316874" name="Rectangle 28"/>
        <xdr:cNvSpPr>
          <a:spLocks noChangeArrowheads="1"/>
        </xdr:cNvSpPr>
      </xdr:nvSpPr>
      <xdr:spPr bwMode="auto">
        <a:xfrm>
          <a:off x="78181200" y="1040130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1571625</xdr:colOff>
      <xdr:row>49</xdr:row>
      <xdr:rowOff>28575</xdr:rowOff>
    </xdr:from>
    <xdr:to>
      <xdr:col>106</xdr:col>
      <xdr:colOff>0</xdr:colOff>
      <xdr:row>49</xdr:row>
      <xdr:rowOff>190500</xdr:rowOff>
    </xdr:to>
    <xdr:sp macro="" textlink="">
      <xdr:nvSpPr>
        <xdr:cNvPr id="316875" name="Rectangle 28"/>
        <xdr:cNvSpPr>
          <a:spLocks noChangeArrowheads="1"/>
        </xdr:cNvSpPr>
      </xdr:nvSpPr>
      <xdr:spPr bwMode="auto">
        <a:xfrm>
          <a:off x="78181200" y="1040130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1571625</xdr:colOff>
      <xdr:row>49</xdr:row>
      <xdr:rowOff>28575</xdr:rowOff>
    </xdr:from>
    <xdr:to>
      <xdr:col>106</xdr:col>
      <xdr:colOff>0</xdr:colOff>
      <xdr:row>49</xdr:row>
      <xdr:rowOff>190500</xdr:rowOff>
    </xdr:to>
    <xdr:sp macro="" textlink="">
      <xdr:nvSpPr>
        <xdr:cNvPr id="316876" name="Rectangle 28"/>
        <xdr:cNvSpPr>
          <a:spLocks noChangeArrowheads="1"/>
        </xdr:cNvSpPr>
      </xdr:nvSpPr>
      <xdr:spPr bwMode="auto">
        <a:xfrm>
          <a:off x="78181200" y="1040130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1571625</xdr:colOff>
      <xdr:row>4</xdr:row>
      <xdr:rowOff>9525</xdr:rowOff>
    </xdr:from>
    <xdr:to>
      <xdr:col>106</xdr:col>
      <xdr:colOff>0</xdr:colOff>
      <xdr:row>4</xdr:row>
      <xdr:rowOff>171450</xdr:rowOff>
    </xdr:to>
    <xdr:sp macro="" textlink="">
      <xdr:nvSpPr>
        <xdr:cNvPr id="316877" name="Rectangle 28"/>
        <xdr:cNvSpPr>
          <a:spLocks noChangeArrowheads="1"/>
        </xdr:cNvSpPr>
      </xdr:nvSpPr>
      <xdr:spPr bwMode="auto">
        <a:xfrm>
          <a:off x="78181200" y="1381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1571625</xdr:colOff>
      <xdr:row>4</xdr:row>
      <xdr:rowOff>9525</xdr:rowOff>
    </xdr:from>
    <xdr:to>
      <xdr:col>106</xdr:col>
      <xdr:colOff>0</xdr:colOff>
      <xdr:row>4</xdr:row>
      <xdr:rowOff>171450</xdr:rowOff>
    </xdr:to>
    <xdr:sp macro="" textlink="">
      <xdr:nvSpPr>
        <xdr:cNvPr id="316878" name="Rectangle 28"/>
        <xdr:cNvSpPr>
          <a:spLocks noChangeArrowheads="1"/>
        </xdr:cNvSpPr>
      </xdr:nvSpPr>
      <xdr:spPr bwMode="auto">
        <a:xfrm>
          <a:off x="78181200" y="1381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1571625</xdr:colOff>
      <xdr:row>4</xdr:row>
      <xdr:rowOff>9525</xdr:rowOff>
    </xdr:from>
    <xdr:to>
      <xdr:col>106</xdr:col>
      <xdr:colOff>0</xdr:colOff>
      <xdr:row>4</xdr:row>
      <xdr:rowOff>171450</xdr:rowOff>
    </xdr:to>
    <xdr:sp macro="" textlink="">
      <xdr:nvSpPr>
        <xdr:cNvPr id="316879" name="Rectangle 28"/>
        <xdr:cNvSpPr>
          <a:spLocks noChangeArrowheads="1"/>
        </xdr:cNvSpPr>
      </xdr:nvSpPr>
      <xdr:spPr bwMode="auto">
        <a:xfrm>
          <a:off x="78181200" y="1381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1571625</xdr:colOff>
      <xdr:row>4</xdr:row>
      <xdr:rowOff>9525</xdr:rowOff>
    </xdr:from>
    <xdr:to>
      <xdr:col>106</xdr:col>
      <xdr:colOff>0</xdr:colOff>
      <xdr:row>4</xdr:row>
      <xdr:rowOff>171450</xdr:rowOff>
    </xdr:to>
    <xdr:sp macro="" textlink="">
      <xdr:nvSpPr>
        <xdr:cNvPr id="316880" name="Rectangle 28"/>
        <xdr:cNvSpPr>
          <a:spLocks noChangeArrowheads="1"/>
        </xdr:cNvSpPr>
      </xdr:nvSpPr>
      <xdr:spPr bwMode="auto">
        <a:xfrm>
          <a:off x="78181200" y="1381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1571625</xdr:colOff>
      <xdr:row>4</xdr:row>
      <xdr:rowOff>9525</xdr:rowOff>
    </xdr:from>
    <xdr:to>
      <xdr:col>106</xdr:col>
      <xdr:colOff>0</xdr:colOff>
      <xdr:row>4</xdr:row>
      <xdr:rowOff>171450</xdr:rowOff>
    </xdr:to>
    <xdr:sp macro="" textlink="">
      <xdr:nvSpPr>
        <xdr:cNvPr id="316881" name="Rectangle 28"/>
        <xdr:cNvSpPr>
          <a:spLocks noChangeArrowheads="1"/>
        </xdr:cNvSpPr>
      </xdr:nvSpPr>
      <xdr:spPr bwMode="auto">
        <a:xfrm>
          <a:off x="78181200" y="1381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1571625</xdr:colOff>
      <xdr:row>4</xdr:row>
      <xdr:rowOff>9525</xdr:rowOff>
    </xdr:from>
    <xdr:to>
      <xdr:col>106</xdr:col>
      <xdr:colOff>0</xdr:colOff>
      <xdr:row>4</xdr:row>
      <xdr:rowOff>171450</xdr:rowOff>
    </xdr:to>
    <xdr:sp macro="" textlink="">
      <xdr:nvSpPr>
        <xdr:cNvPr id="316882" name="Rectangle 28"/>
        <xdr:cNvSpPr>
          <a:spLocks noChangeArrowheads="1"/>
        </xdr:cNvSpPr>
      </xdr:nvSpPr>
      <xdr:spPr bwMode="auto">
        <a:xfrm>
          <a:off x="78181200" y="13811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1571625</xdr:colOff>
      <xdr:row>8</xdr:row>
      <xdr:rowOff>9525</xdr:rowOff>
    </xdr:from>
    <xdr:to>
      <xdr:col>106</xdr:col>
      <xdr:colOff>0</xdr:colOff>
      <xdr:row>8</xdr:row>
      <xdr:rowOff>171450</xdr:rowOff>
    </xdr:to>
    <xdr:sp macro="" textlink="">
      <xdr:nvSpPr>
        <xdr:cNvPr id="316883" name="Rectangle 28"/>
        <xdr:cNvSpPr>
          <a:spLocks noChangeArrowheads="1"/>
        </xdr:cNvSpPr>
      </xdr:nvSpPr>
      <xdr:spPr bwMode="auto">
        <a:xfrm>
          <a:off x="78181200" y="21812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1571625</xdr:colOff>
      <xdr:row>8</xdr:row>
      <xdr:rowOff>9525</xdr:rowOff>
    </xdr:from>
    <xdr:to>
      <xdr:col>106</xdr:col>
      <xdr:colOff>0</xdr:colOff>
      <xdr:row>8</xdr:row>
      <xdr:rowOff>171450</xdr:rowOff>
    </xdr:to>
    <xdr:sp macro="" textlink="">
      <xdr:nvSpPr>
        <xdr:cNvPr id="316884" name="Rectangle 28"/>
        <xdr:cNvSpPr>
          <a:spLocks noChangeArrowheads="1"/>
        </xdr:cNvSpPr>
      </xdr:nvSpPr>
      <xdr:spPr bwMode="auto">
        <a:xfrm>
          <a:off x="78181200" y="21812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1571625</xdr:colOff>
      <xdr:row>8</xdr:row>
      <xdr:rowOff>9525</xdr:rowOff>
    </xdr:from>
    <xdr:to>
      <xdr:col>106</xdr:col>
      <xdr:colOff>0</xdr:colOff>
      <xdr:row>8</xdr:row>
      <xdr:rowOff>171450</xdr:rowOff>
    </xdr:to>
    <xdr:sp macro="" textlink="">
      <xdr:nvSpPr>
        <xdr:cNvPr id="316885" name="Rectangle 28"/>
        <xdr:cNvSpPr>
          <a:spLocks noChangeArrowheads="1"/>
        </xdr:cNvSpPr>
      </xdr:nvSpPr>
      <xdr:spPr bwMode="auto">
        <a:xfrm>
          <a:off x="78181200" y="21812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1571625</xdr:colOff>
      <xdr:row>8</xdr:row>
      <xdr:rowOff>9525</xdr:rowOff>
    </xdr:from>
    <xdr:to>
      <xdr:col>106</xdr:col>
      <xdr:colOff>0</xdr:colOff>
      <xdr:row>8</xdr:row>
      <xdr:rowOff>171450</xdr:rowOff>
    </xdr:to>
    <xdr:sp macro="" textlink="">
      <xdr:nvSpPr>
        <xdr:cNvPr id="316886" name="Rectangle 28"/>
        <xdr:cNvSpPr>
          <a:spLocks noChangeArrowheads="1"/>
        </xdr:cNvSpPr>
      </xdr:nvSpPr>
      <xdr:spPr bwMode="auto">
        <a:xfrm>
          <a:off x="78181200" y="21812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1571625</xdr:colOff>
      <xdr:row>8</xdr:row>
      <xdr:rowOff>9525</xdr:rowOff>
    </xdr:from>
    <xdr:to>
      <xdr:col>106</xdr:col>
      <xdr:colOff>0</xdr:colOff>
      <xdr:row>8</xdr:row>
      <xdr:rowOff>171450</xdr:rowOff>
    </xdr:to>
    <xdr:sp macro="" textlink="">
      <xdr:nvSpPr>
        <xdr:cNvPr id="316887" name="Rectangle 28"/>
        <xdr:cNvSpPr>
          <a:spLocks noChangeArrowheads="1"/>
        </xdr:cNvSpPr>
      </xdr:nvSpPr>
      <xdr:spPr bwMode="auto">
        <a:xfrm>
          <a:off x="78181200" y="21812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1571625</xdr:colOff>
      <xdr:row>8</xdr:row>
      <xdr:rowOff>9525</xdr:rowOff>
    </xdr:from>
    <xdr:to>
      <xdr:col>106</xdr:col>
      <xdr:colOff>0</xdr:colOff>
      <xdr:row>8</xdr:row>
      <xdr:rowOff>171450</xdr:rowOff>
    </xdr:to>
    <xdr:sp macro="" textlink="">
      <xdr:nvSpPr>
        <xdr:cNvPr id="316888" name="Rectangle 28"/>
        <xdr:cNvSpPr>
          <a:spLocks noChangeArrowheads="1"/>
        </xdr:cNvSpPr>
      </xdr:nvSpPr>
      <xdr:spPr bwMode="auto">
        <a:xfrm>
          <a:off x="78181200" y="21812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1571625</xdr:colOff>
      <xdr:row>31</xdr:row>
      <xdr:rowOff>9525</xdr:rowOff>
    </xdr:from>
    <xdr:to>
      <xdr:col>106</xdr:col>
      <xdr:colOff>0</xdr:colOff>
      <xdr:row>31</xdr:row>
      <xdr:rowOff>161925</xdr:rowOff>
    </xdr:to>
    <xdr:sp macro="" textlink="">
      <xdr:nvSpPr>
        <xdr:cNvPr id="316889" name="Rectangle 28"/>
        <xdr:cNvSpPr>
          <a:spLocks noChangeArrowheads="1"/>
        </xdr:cNvSpPr>
      </xdr:nvSpPr>
      <xdr:spPr bwMode="auto">
        <a:xfrm>
          <a:off x="78181200" y="67818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1571625</xdr:colOff>
      <xdr:row>31</xdr:row>
      <xdr:rowOff>9525</xdr:rowOff>
    </xdr:from>
    <xdr:to>
      <xdr:col>106</xdr:col>
      <xdr:colOff>0</xdr:colOff>
      <xdr:row>31</xdr:row>
      <xdr:rowOff>161925</xdr:rowOff>
    </xdr:to>
    <xdr:sp macro="" textlink="">
      <xdr:nvSpPr>
        <xdr:cNvPr id="316890" name="Rectangle 28"/>
        <xdr:cNvSpPr>
          <a:spLocks noChangeArrowheads="1"/>
        </xdr:cNvSpPr>
      </xdr:nvSpPr>
      <xdr:spPr bwMode="auto">
        <a:xfrm>
          <a:off x="78181200" y="67818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1571625</xdr:colOff>
      <xdr:row>31</xdr:row>
      <xdr:rowOff>9525</xdr:rowOff>
    </xdr:from>
    <xdr:to>
      <xdr:col>106</xdr:col>
      <xdr:colOff>0</xdr:colOff>
      <xdr:row>31</xdr:row>
      <xdr:rowOff>161925</xdr:rowOff>
    </xdr:to>
    <xdr:sp macro="" textlink="">
      <xdr:nvSpPr>
        <xdr:cNvPr id="316891" name="Rectangle 28"/>
        <xdr:cNvSpPr>
          <a:spLocks noChangeArrowheads="1"/>
        </xdr:cNvSpPr>
      </xdr:nvSpPr>
      <xdr:spPr bwMode="auto">
        <a:xfrm>
          <a:off x="78181200" y="67818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1571625</xdr:colOff>
      <xdr:row>31</xdr:row>
      <xdr:rowOff>9525</xdr:rowOff>
    </xdr:from>
    <xdr:to>
      <xdr:col>106</xdr:col>
      <xdr:colOff>0</xdr:colOff>
      <xdr:row>31</xdr:row>
      <xdr:rowOff>161925</xdr:rowOff>
    </xdr:to>
    <xdr:sp macro="" textlink="">
      <xdr:nvSpPr>
        <xdr:cNvPr id="316892" name="Rectangle 28"/>
        <xdr:cNvSpPr>
          <a:spLocks noChangeArrowheads="1"/>
        </xdr:cNvSpPr>
      </xdr:nvSpPr>
      <xdr:spPr bwMode="auto">
        <a:xfrm>
          <a:off x="78181200" y="67818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1571625</xdr:colOff>
      <xdr:row>31</xdr:row>
      <xdr:rowOff>9525</xdr:rowOff>
    </xdr:from>
    <xdr:to>
      <xdr:col>106</xdr:col>
      <xdr:colOff>0</xdr:colOff>
      <xdr:row>31</xdr:row>
      <xdr:rowOff>161925</xdr:rowOff>
    </xdr:to>
    <xdr:sp macro="" textlink="">
      <xdr:nvSpPr>
        <xdr:cNvPr id="316893" name="Rectangle 28"/>
        <xdr:cNvSpPr>
          <a:spLocks noChangeArrowheads="1"/>
        </xdr:cNvSpPr>
      </xdr:nvSpPr>
      <xdr:spPr bwMode="auto">
        <a:xfrm>
          <a:off x="78181200" y="67818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1571625</xdr:colOff>
      <xdr:row>31</xdr:row>
      <xdr:rowOff>9525</xdr:rowOff>
    </xdr:from>
    <xdr:to>
      <xdr:col>106</xdr:col>
      <xdr:colOff>0</xdr:colOff>
      <xdr:row>31</xdr:row>
      <xdr:rowOff>161925</xdr:rowOff>
    </xdr:to>
    <xdr:sp macro="" textlink="">
      <xdr:nvSpPr>
        <xdr:cNvPr id="316894" name="Rectangle 28"/>
        <xdr:cNvSpPr>
          <a:spLocks noChangeArrowheads="1"/>
        </xdr:cNvSpPr>
      </xdr:nvSpPr>
      <xdr:spPr bwMode="auto">
        <a:xfrm>
          <a:off x="78181200" y="67818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1571625</xdr:colOff>
      <xdr:row>10</xdr:row>
      <xdr:rowOff>190500</xdr:rowOff>
    </xdr:from>
    <xdr:to>
      <xdr:col>106</xdr:col>
      <xdr:colOff>0</xdr:colOff>
      <xdr:row>11</xdr:row>
      <xdr:rowOff>142875</xdr:rowOff>
    </xdr:to>
    <xdr:sp macro="" textlink="">
      <xdr:nvSpPr>
        <xdr:cNvPr id="316895" name="Rectangle 28"/>
        <xdr:cNvSpPr>
          <a:spLocks noChangeArrowheads="1"/>
        </xdr:cNvSpPr>
      </xdr:nvSpPr>
      <xdr:spPr bwMode="auto">
        <a:xfrm>
          <a:off x="78181200" y="27622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1571625</xdr:colOff>
      <xdr:row>10</xdr:row>
      <xdr:rowOff>190500</xdr:rowOff>
    </xdr:from>
    <xdr:to>
      <xdr:col>106</xdr:col>
      <xdr:colOff>0</xdr:colOff>
      <xdr:row>11</xdr:row>
      <xdr:rowOff>142875</xdr:rowOff>
    </xdr:to>
    <xdr:sp macro="" textlink="">
      <xdr:nvSpPr>
        <xdr:cNvPr id="316896" name="Rectangle 28"/>
        <xdr:cNvSpPr>
          <a:spLocks noChangeArrowheads="1"/>
        </xdr:cNvSpPr>
      </xdr:nvSpPr>
      <xdr:spPr bwMode="auto">
        <a:xfrm>
          <a:off x="78181200" y="27622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1571625</xdr:colOff>
      <xdr:row>10</xdr:row>
      <xdr:rowOff>190500</xdr:rowOff>
    </xdr:from>
    <xdr:to>
      <xdr:col>106</xdr:col>
      <xdr:colOff>0</xdr:colOff>
      <xdr:row>11</xdr:row>
      <xdr:rowOff>142875</xdr:rowOff>
    </xdr:to>
    <xdr:sp macro="" textlink="">
      <xdr:nvSpPr>
        <xdr:cNvPr id="316897" name="Rectangle 28"/>
        <xdr:cNvSpPr>
          <a:spLocks noChangeArrowheads="1"/>
        </xdr:cNvSpPr>
      </xdr:nvSpPr>
      <xdr:spPr bwMode="auto">
        <a:xfrm>
          <a:off x="78181200" y="27622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1571625</xdr:colOff>
      <xdr:row>10</xdr:row>
      <xdr:rowOff>190500</xdr:rowOff>
    </xdr:from>
    <xdr:to>
      <xdr:col>106</xdr:col>
      <xdr:colOff>0</xdr:colOff>
      <xdr:row>11</xdr:row>
      <xdr:rowOff>142875</xdr:rowOff>
    </xdr:to>
    <xdr:sp macro="" textlink="">
      <xdr:nvSpPr>
        <xdr:cNvPr id="316898" name="Rectangle 28"/>
        <xdr:cNvSpPr>
          <a:spLocks noChangeArrowheads="1"/>
        </xdr:cNvSpPr>
      </xdr:nvSpPr>
      <xdr:spPr bwMode="auto">
        <a:xfrm>
          <a:off x="78181200" y="27622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1571625</xdr:colOff>
      <xdr:row>10</xdr:row>
      <xdr:rowOff>190500</xdr:rowOff>
    </xdr:from>
    <xdr:to>
      <xdr:col>106</xdr:col>
      <xdr:colOff>0</xdr:colOff>
      <xdr:row>11</xdr:row>
      <xdr:rowOff>142875</xdr:rowOff>
    </xdr:to>
    <xdr:sp macro="" textlink="">
      <xdr:nvSpPr>
        <xdr:cNvPr id="316899" name="Rectangle 28"/>
        <xdr:cNvSpPr>
          <a:spLocks noChangeArrowheads="1"/>
        </xdr:cNvSpPr>
      </xdr:nvSpPr>
      <xdr:spPr bwMode="auto">
        <a:xfrm>
          <a:off x="78181200" y="27622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1571625</xdr:colOff>
      <xdr:row>10</xdr:row>
      <xdr:rowOff>190500</xdr:rowOff>
    </xdr:from>
    <xdr:to>
      <xdr:col>106</xdr:col>
      <xdr:colOff>0</xdr:colOff>
      <xdr:row>11</xdr:row>
      <xdr:rowOff>142875</xdr:rowOff>
    </xdr:to>
    <xdr:sp macro="" textlink="">
      <xdr:nvSpPr>
        <xdr:cNvPr id="316900" name="Rectangle 28"/>
        <xdr:cNvSpPr>
          <a:spLocks noChangeArrowheads="1"/>
        </xdr:cNvSpPr>
      </xdr:nvSpPr>
      <xdr:spPr bwMode="auto">
        <a:xfrm>
          <a:off x="78181200" y="27622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1571625</xdr:colOff>
      <xdr:row>11</xdr:row>
      <xdr:rowOff>190500</xdr:rowOff>
    </xdr:from>
    <xdr:to>
      <xdr:col>106</xdr:col>
      <xdr:colOff>0</xdr:colOff>
      <xdr:row>12</xdr:row>
      <xdr:rowOff>133350</xdr:rowOff>
    </xdr:to>
    <xdr:sp macro="" textlink="">
      <xdr:nvSpPr>
        <xdr:cNvPr id="316901" name="Rectangle 28"/>
        <xdr:cNvSpPr>
          <a:spLocks noChangeArrowheads="1"/>
        </xdr:cNvSpPr>
      </xdr:nvSpPr>
      <xdr:spPr bwMode="auto">
        <a:xfrm>
          <a:off x="78181200" y="2962275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1571625</xdr:colOff>
      <xdr:row>11</xdr:row>
      <xdr:rowOff>190500</xdr:rowOff>
    </xdr:from>
    <xdr:to>
      <xdr:col>106</xdr:col>
      <xdr:colOff>0</xdr:colOff>
      <xdr:row>12</xdr:row>
      <xdr:rowOff>133350</xdr:rowOff>
    </xdr:to>
    <xdr:sp macro="" textlink="">
      <xdr:nvSpPr>
        <xdr:cNvPr id="316902" name="Rectangle 28"/>
        <xdr:cNvSpPr>
          <a:spLocks noChangeArrowheads="1"/>
        </xdr:cNvSpPr>
      </xdr:nvSpPr>
      <xdr:spPr bwMode="auto">
        <a:xfrm>
          <a:off x="78181200" y="2962275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1571625</xdr:colOff>
      <xdr:row>11</xdr:row>
      <xdr:rowOff>190500</xdr:rowOff>
    </xdr:from>
    <xdr:to>
      <xdr:col>106</xdr:col>
      <xdr:colOff>0</xdr:colOff>
      <xdr:row>12</xdr:row>
      <xdr:rowOff>133350</xdr:rowOff>
    </xdr:to>
    <xdr:sp macro="" textlink="">
      <xdr:nvSpPr>
        <xdr:cNvPr id="316903" name="Rectangle 28"/>
        <xdr:cNvSpPr>
          <a:spLocks noChangeArrowheads="1"/>
        </xdr:cNvSpPr>
      </xdr:nvSpPr>
      <xdr:spPr bwMode="auto">
        <a:xfrm>
          <a:off x="78181200" y="2962275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1571625</xdr:colOff>
      <xdr:row>11</xdr:row>
      <xdr:rowOff>190500</xdr:rowOff>
    </xdr:from>
    <xdr:to>
      <xdr:col>106</xdr:col>
      <xdr:colOff>0</xdr:colOff>
      <xdr:row>12</xdr:row>
      <xdr:rowOff>133350</xdr:rowOff>
    </xdr:to>
    <xdr:sp macro="" textlink="">
      <xdr:nvSpPr>
        <xdr:cNvPr id="316904" name="Rectangle 28"/>
        <xdr:cNvSpPr>
          <a:spLocks noChangeArrowheads="1"/>
        </xdr:cNvSpPr>
      </xdr:nvSpPr>
      <xdr:spPr bwMode="auto">
        <a:xfrm>
          <a:off x="78181200" y="2962275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1571625</xdr:colOff>
      <xdr:row>11</xdr:row>
      <xdr:rowOff>190500</xdr:rowOff>
    </xdr:from>
    <xdr:to>
      <xdr:col>106</xdr:col>
      <xdr:colOff>0</xdr:colOff>
      <xdr:row>12</xdr:row>
      <xdr:rowOff>133350</xdr:rowOff>
    </xdr:to>
    <xdr:sp macro="" textlink="">
      <xdr:nvSpPr>
        <xdr:cNvPr id="316905" name="Rectangle 28"/>
        <xdr:cNvSpPr>
          <a:spLocks noChangeArrowheads="1"/>
        </xdr:cNvSpPr>
      </xdr:nvSpPr>
      <xdr:spPr bwMode="auto">
        <a:xfrm>
          <a:off x="78181200" y="2962275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1571625</xdr:colOff>
      <xdr:row>11</xdr:row>
      <xdr:rowOff>190500</xdr:rowOff>
    </xdr:from>
    <xdr:to>
      <xdr:col>106</xdr:col>
      <xdr:colOff>0</xdr:colOff>
      <xdr:row>12</xdr:row>
      <xdr:rowOff>133350</xdr:rowOff>
    </xdr:to>
    <xdr:sp macro="" textlink="">
      <xdr:nvSpPr>
        <xdr:cNvPr id="316906" name="Rectangle 28"/>
        <xdr:cNvSpPr>
          <a:spLocks noChangeArrowheads="1"/>
        </xdr:cNvSpPr>
      </xdr:nvSpPr>
      <xdr:spPr bwMode="auto">
        <a:xfrm>
          <a:off x="78181200" y="2962275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1571625</xdr:colOff>
      <xdr:row>12</xdr:row>
      <xdr:rowOff>190500</xdr:rowOff>
    </xdr:from>
    <xdr:to>
      <xdr:col>106</xdr:col>
      <xdr:colOff>0</xdr:colOff>
      <xdr:row>13</xdr:row>
      <xdr:rowOff>133350</xdr:rowOff>
    </xdr:to>
    <xdr:sp macro="" textlink="">
      <xdr:nvSpPr>
        <xdr:cNvPr id="316907" name="Rectangle 28"/>
        <xdr:cNvSpPr>
          <a:spLocks noChangeArrowheads="1"/>
        </xdr:cNvSpPr>
      </xdr:nvSpPr>
      <xdr:spPr bwMode="auto">
        <a:xfrm>
          <a:off x="78181200" y="31623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1571625</xdr:colOff>
      <xdr:row>12</xdr:row>
      <xdr:rowOff>190500</xdr:rowOff>
    </xdr:from>
    <xdr:to>
      <xdr:col>106</xdr:col>
      <xdr:colOff>0</xdr:colOff>
      <xdr:row>13</xdr:row>
      <xdr:rowOff>133350</xdr:rowOff>
    </xdr:to>
    <xdr:sp macro="" textlink="">
      <xdr:nvSpPr>
        <xdr:cNvPr id="316908" name="Rectangle 28"/>
        <xdr:cNvSpPr>
          <a:spLocks noChangeArrowheads="1"/>
        </xdr:cNvSpPr>
      </xdr:nvSpPr>
      <xdr:spPr bwMode="auto">
        <a:xfrm>
          <a:off x="78181200" y="31623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1571625</xdr:colOff>
      <xdr:row>12</xdr:row>
      <xdr:rowOff>190500</xdr:rowOff>
    </xdr:from>
    <xdr:to>
      <xdr:col>106</xdr:col>
      <xdr:colOff>0</xdr:colOff>
      <xdr:row>13</xdr:row>
      <xdr:rowOff>133350</xdr:rowOff>
    </xdr:to>
    <xdr:sp macro="" textlink="">
      <xdr:nvSpPr>
        <xdr:cNvPr id="316909" name="Rectangle 28"/>
        <xdr:cNvSpPr>
          <a:spLocks noChangeArrowheads="1"/>
        </xdr:cNvSpPr>
      </xdr:nvSpPr>
      <xdr:spPr bwMode="auto">
        <a:xfrm>
          <a:off x="78181200" y="31623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1571625</xdr:colOff>
      <xdr:row>12</xdr:row>
      <xdr:rowOff>190500</xdr:rowOff>
    </xdr:from>
    <xdr:to>
      <xdr:col>106</xdr:col>
      <xdr:colOff>0</xdr:colOff>
      <xdr:row>13</xdr:row>
      <xdr:rowOff>133350</xdr:rowOff>
    </xdr:to>
    <xdr:sp macro="" textlink="">
      <xdr:nvSpPr>
        <xdr:cNvPr id="316910" name="Rectangle 28"/>
        <xdr:cNvSpPr>
          <a:spLocks noChangeArrowheads="1"/>
        </xdr:cNvSpPr>
      </xdr:nvSpPr>
      <xdr:spPr bwMode="auto">
        <a:xfrm>
          <a:off x="78181200" y="31623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1571625</xdr:colOff>
      <xdr:row>12</xdr:row>
      <xdr:rowOff>190500</xdr:rowOff>
    </xdr:from>
    <xdr:to>
      <xdr:col>106</xdr:col>
      <xdr:colOff>0</xdr:colOff>
      <xdr:row>13</xdr:row>
      <xdr:rowOff>133350</xdr:rowOff>
    </xdr:to>
    <xdr:sp macro="" textlink="">
      <xdr:nvSpPr>
        <xdr:cNvPr id="316911" name="Rectangle 28"/>
        <xdr:cNvSpPr>
          <a:spLocks noChangeArrowheads="1"/>
        </xdr:cNvSpPr>
      </xdr:nvSpPr>
      <xdr:spPr bwMode="auto">
        <a:xfrm>
          <a:off x="78181200" y="31623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1571625</xdr:colOff>
      <xdr:row>12</xdr:row>
      <xdr:rowOff>190500</xdr:rowOff>
    </xdr:from>
    <xdr:to>
      <xdr:col>106</xdr:col>
      <xdr:colOff>0</xdr:colOff>
      <xdr:row>13</xdr:row>
      <xdr:rowOff>133350</xdr:rowOff>
    </xdr:to>
    <xdr:sp macro="" textlink="">
      <xdr:nvSpPr>
        <xdr:cNvPr id="316912" name="Rectangle 28"/>
        <xdr:cNvSpPr>
          <a:spLocks noChangeArrowheads="1"/>
        </xdr:cNvSpPr>
      </xdr:nvSpPr>
      <xdr:spPr bwMode="auto">
        <a:xfrm>
          <a:off x="78181200" y="31623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1571625</xdr:colOff>
      <xdr:row>13</xdr:row>
      <xdr:rowOff>171450</xdr:rowOff>
    </xdr:from>
    <xdr:to>
      <xdr:col>106</xdr:col>
      <xdr:colOff>0</xdr:colOff>
      <xdr:row>14</xdr:row>
      <xdr:rowOff>123825</xdr:rowOff>
    </xdr:to>
    <xdr:sp macro="" textlink="">
      <xdr:nvSpPr>
        <xdr:cNvPr id="316913" name="Rectangle 28"/>
        <xdr:cNvSpPr>
          <a:spLocks noChangeArrowheads="1"/>
        </xdr:cNvSpPr>
      </xdr:nvSpPr>
      <xdr:spPr bwMode="auto">
        <a:xfrm>
          <a:off x="78181200" y="3343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1571625</xdr:colOff>
      <xdr:row>13</xdr:row>
      <xdr:rowOff>171450</xdr:rowOff>
    </xdr:from>
    <xdr:to>
      <xdr:col>106</xdr:col>
      <xdr:colOff>0</xdr:colOff>
      <xdr:row>14</xdr:row>
      <xdr:rowOff>123825</xdr:rowOff>
    </xdr:to>
    <xdr:sp macro="" textlink="">
      <xdr:nvSpPr>
        <xdr:cNvPr id="316914" name="Rectangle 28"/>
        <xdr:cNvSpPr>
          <a:spLocks noChangeArrowheads="1"/>
        </xdr:cNvSpPr>
      </xdr:nvSpPr>
      <xdr:spPr bwMode="auto">
        <a:xfrm>
          <a:off x="78181200" y="3343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1571625</xdr:colOff>
      <xdr:row>13</xdr:row>
      <xdr:rowOff>171450</xdr:rowOff>
    </xdr:from>
    <xdr:to>
      <xdr:col>106</xdr:col>
      <xdr:colOff>0</xdr:colOff>
      <xdr:row>14</xdr:row>
      <xdr:rowOff>123825</xdr:rowOff>
    </xdr:to>
    <xdr:sp macro="" textlink="">
      <xdr:nvSpPr>
        <xdr:cNvPr id="316915" name="Rectangle 28"/>
        <xdr:cNvSpPr>
          <a:spLocks noChangeArrowheads="1"/>
        </xdr:cNvSpPr>
      </xdr:nvSpPr>
      <xdr:spPr bwMode="auto">
        <a:xfrm>
          <a:off x="78181200" y="3343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1571625</xdr:colOff>
      <xdr:row>13</xdr:row>
      <xdr:rowOff>171450</xdr:rowOff>
    </xdr:from>
    <xdr:to>
      <xdr:col>106</xdr:col>
      <xdr:colOff>0</xdr:colOff>
      <xdr:row>14</xdr:row>
      <xdr:rowOff>123825</xdr:rowOff>
    </xdr:to>
    <xdr:sp macro="" textlink="">
      <xdr:nvSpPr>
        <xdr:cNvPr id="316916" name="Rectangle 28"/>
        <xdr:cNvSpPr>
          <a:spLocks noChangeArrowheads="1"/>
        </xdr:cNvSpPr>
      </xdr:nvSpPr>
      <xdr:spPr bwMode="auto">
        <a:xfrm>
          <a:off x="78181200" y="3343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1571625</xdr:colOff>
      <xdr:row>13</xdr:row>
      <xdr:rowOff>171450</xdr:rowOff>
    </xdr:from>
    <xdr:to>
      <xdr:col>106</xdr:col>
      <xdr:colOff>0</xdr:colOff>
      <xdr:row>14</xdr:row>
      <xdr:rowOff>123825</xdr:rowOff>
    </xdr:to>
    <xdr:sp macro="" textlink="">
      <xdr:nvSpPr>
        <xdr:cNvPr id="316917" name="Rectangle 28"/>
        <xdr:cNvSpPr>
          <a:spLocks noChangeArrowheads="1"/>
        </xdr:cNvSpPr>
      </xdr:nvSpPr>
      <xdr:spPr bwMode="auto">
        <a:xfrm>
          <a:off x="78181200" y="3343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1571625</xdr:colOff>
      <xdr:row>13</xdr:row>
      <xdr:rowOff>171450</xdr:rowOff>
    </xdr:from>
    <xdr:to>
      <xdr:col>106</xdr:col>
      <xdr:colOff>0</xdr:colOff>
      <xdr:row>14</xdr:row>
      <xdr:rowOff>123825</xdr:rowOff>
    </xdr:to>
    <xdr:sp macro="" textlink="">
      <xdr:nvSpPr>
        <xdr:cNvPr id="316918" name="Rectangle 28"/>
        <xdr:cNvSpPr>
          <a:spLocks noChangeArrowheads="1"/>
        </xdr:cNvSpPr>
      </xdr:nvSpPr>
      <xdr:spPr bwMode="auto">
        <a:xfrm>
          <a:off x="78181200" y="3343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1571625</xdr:colOff>
      <xdr:row>14</xdr:row>
      <xdr:rowOff>142875</xdr:rowOff>
    </xdr:from>
    <xdr:to>
      <xdr:col>106</xdr:col>
      <xdr:colOff>0</xdr:colOff>
      <xdr:row>15</xdr:row>
      <xdr:rowOff>104775</xdr:rowOff>
    </xdr:to>
    <xdr:sp macro="" textlink="">
      <xdr:nvSpPr>
        <xdr:cNvPr id="316919" name="Rectangle 28"/>
        <xdr:cNvSpPr>
          <a:spLocks noChangeArrowheads="1"/>
        </xdr:cNvSpPr>
      </xdr:nvSpPr>
      <xdr:spPr bwMode="auto">
        <a:xfrm>
          <a:off x="78181200" y="35147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1571625</xdr:colOff>
      <xdr:row>14</xdr:row>
      <xdr:rowOff>142875</xdr:rowOff>
    </xdr:from>
    <xdr:to>
      <xdr:col>106</xdr:col>
      <xdr:colOff>0</xdr:colOff>
      <xdr:row>15</xdr:row>
      <xdr:rowOff>104775</xdr:rowOff>
    </xdr:to>
    <xdr:sp macro="" textlink="">
      <xdr:nvSpPr>
        <xdr:cNvPr id="316920" name="Rectangle 28"/>
        <xdr:cNvSpPr>
          <a:spLocks noChangeArrowheads="1"/>
        </xdr:cNvSpPr>
      </xdr:nvSpPr>
      <xdr:spPr bwMode="auto">
        <a:xfrm>
          <a:off x="78181200" y="35147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1571625</xdr:colOff>
      <xdr:row>14</xdr:row>
      <xdr:rowOff>142875</xdr:rowOff>
    </xdr:from>
    <xdr:to>
      <xdr:col>106</xdr:col>
      <xdr:colOff>0</xdr:colOff>
      <xdr:row>15</xdr:row>
      <xdr:rowOff>104775</xdr:rowOff>
    </xdr:to>
    <xdr:sp macro="" textlink="">
      <xdr:nvSpPr>
        <xdr:cNvPr id="316921" name="Rectangle 28"/>
        <xdr:cNvSpPr>
          <a:spLocks noChangeArrowheads="1"/>
        </xdr:cNvSpPr>
      </xdr:nvSpPr>
      <xdr:spPr bwMode="auto">
        <a:xfrm>
          <a:off x="78181200" y="35147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1571625</xdr:colOff>
      <xdr:row>14</xdr:row>
      <xdr:rowOff>142875</xdr:rowOff>
    </xdr:from>
    <xdr:to>
      <xdr:col>106</xdr:col>
      <xdr:colOff>0</xdr:colOff>
      <xdr:row>15</xdr:row>
      <xdr:rowOff>104775</xdr:rowOff>
    </xdr:to>
    <xdr:sp macro="" textlink="">
      <xdr:nvSpPr>
        <xdr:cNvPr id="316922" name="Rectangle 28"/>
        <xdr:cNvSpPr>
          <a:spLocks noChangeArrowheads="1"/>
        </xdr:cNvSpPr>
      </xdr:nvSpPr>
      <xdr:spPr bwMode="auto">
        <a:xfrm>
          <a:off x="78181200" y="35147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1571625</xdr:colOff>
      <xdr:row>14</xdr:row>
      <xdr:rowOff>142875</xdr:rowOff>
    </xdr:from>
    <xdr:to>
      <xdr:col>106</xdr:col>
      <xdr:colOff>0</xdr:colOff>
      <xdr:row>15</xdr:row>
      <xdr:rowOff>104775</xdr:rowOff>
    </xdr:to>
    <xdr:sp macro="" textlink="">
      <xdr:nvSpPr>
        <xdr:cNvPr id="316923" name="Rectangle 28"/>
        <xdr:cNvSpPr>
          <a:spLocks noChangeArrowheads="1"/>
        </xdr:cNvSpPr>
      </xdr:nvSpPr>
      <xdr:spPr bwMode="auto">
        <a:xfrm>
          <a:off x="78181200" y="35147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1571625</xdr:colOff>
      <xdr:row>14</xdr:row>
      <xdr:rowOff>142875</xdr:rowOff>
    </xdr:from>
    <xdr:to>
      <xdr:col>106</xdr:col>
      <xdr:colOff>0</xdr:colOff>
      <xdr:row>15</xdr:row>
      <xdr:rowOff>104775</xdr:rowOff>
    </xdr:to>
    <xdr:sp macro="" textlink="">
      <xdr:nvSpPr>
        <xdr:cNvPr id="316924" name="Rectangle 28"/>
        <xdr:cNvSpPr>
          <a:spLocks noChangeArrowheads="1"/>
        </xdr:cNvSpPr>
      </xdr:nvSpPr>
      <xdr:spPr bwMode="auto">
        <a:xfrm>
          <a:off x="78181200" y="35147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1571625</xdr:colOff>
      <xdr:row>15</xdr:row>
      <xdr:rowOff>142875</xdr:rowOff>
    </xdr:from>
    <xdr:to>
      <xdr:col>106</xdr:col>
      <xdr:colOff>0</xdr:colOff>
      <xdr:row>16</xdr:row>
      <xdr:rowOff>95250</xdr:rowOff>
    </xdr:to>
    <xdr:sp macro="" textlink="">
      <xdr:nvSpPr>
        <xdr:cNvPr id="316925" name="Rectangle 28"/>
        <xdr:cNvSpPr>
          <a:spLocks noChangeArrowheads="1"/>
        </xdr:cNvSpPr>
      </xdr:nvSpPr>
      <xdr:spPr bwMode="auto">
        <a:xfrm>
          <a:off x="78181200" y="37147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1571625</xdr:colOff>
      <xdr:row>15</xdr:row>
      <xdr:rowOff>142875</xdr:rowOff>
    </xdr:from>
    <xdr:to>
      <xdr:col>106</xdr:col>
      <xdr:colOff>0</xdr:colOff>
      <xdr:row>16</xdr:row>
      <xdr:rowOff>95250</xdr:rowOff>
    </xdr:to>
    <xdr:sp macro="" textlink="">
      <xdr:nvSpPr>
        <xdr:cNvPr id="316926" name="Rectangle 28"/>
        <xdr:cNvSpPr>
          <a:spLocks noChangeArrowheads="1"/>
        </xdr:cNvSpPr>
      </xdr:nvSpPr>
      <xdr:spPr bwMode="auto">
        <a:xfrm>
          <a:off x="78181200" y="37147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1571625</xdr:colOff>
      <xdr:row>15</xdr:row>
      <xdr:rowOff>142875</xdr:rowOff>
    </xdr:from>
    <xdr:to>
      <xdr:col>106</xdr:col>
      <xdr:colOff>0</xdr:colOff>
      <xdr:row>16</xdr:row>
      <xdr:rowOff>95250</xdr:rowOff>
    </xdr:to>
    <xdr:sp macro="" textlink="">
      <xdr:nvSpPr>
        <xdr:cNvPr id="316927" name="Rectangle 28"/>
        <xdr:cNvSpPr>
          <a:spLocks noChangeArrowheads="1"/>
        </xdr:cNvSpPr>
      </xdr:nvSpPr>
      <xdr:spPr bwMode="auto">
        <a:xfrm>
          <a:off x="78181200" y="37147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1571625</xdr:colOff>
      <xdr:row>15</xdr:row>
      <xdr:rowOff>142875</xdr:rowOff>
    </xdr:from>
    <xdr:to>
      <xdr:col>106</xdr:col>
      <xdr:colOff>0</xdr:colOff>
      <xdr:row>16</xdr:row>
      <xdr:rowOff>95250</xdr:rowOff>
    </xdr:to>
    <xdr:sp macro="" textlink="">
      <xdr:nvSpPr>
        <xdr:cNvPr id="316928" name="Rectangle 28"/>
        <xdr:cNvSpPr>
          <a:spLocks noChangeArrowheads="1"/>
        </xdr:cNvSpPr>
      </xdr:nvSpPr>
      <xdr:spPr bwMode="auto">
        <a:xfrm>
          <a:off x="78181200" y="37147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1571625</xdr:colOff>
      <xdr:row>15</xdr:row>
      <xdr:rowOff>142875</xdr:rowOff>
    </xdr:from>
    <xdr:to>
      <xdr:col>106</xdr:col>
      <xdr:colOff>0</xdr:colOff>
      <xdr:row>16</xdr:row>
      <xdr:rowOff>95250</xdr:rowOff>
    </xdr:to>
    <xdr:sp macro="" textlink="">
      <xdr:nvSpPr>
        <xdr:cNvPr id="316929" name="Rectangle 28"/>
        <xdr:cNvSpPr>
          <a:spLocks noChangeArrowheads="1"/>
        </xdr:cNvSpPr>
      </xdr:nvSpPr>
      <xdr:spPr bwMode="auto">
        <a:xfrm>
          <a:off x="78181200" y="37147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1571625</xdr:colOff>
      <xdr:row>15</xdr:row>
      <xdr:rowOff>142875</xdr:rowOff>
    </xdr:from>
    <xdr:to>
      <xdr:col>106</xdr:col>
      <xdr:colOff>0</xdr:colOff>
      <xdr:row>16</xdr:row>
      <xdr:rowOff>95250</xdr:rowOff>
    </xdr:to>
    <xdr:sp macro="" textlink="">
      <xdr:nvSpPr>
        <xdr:cNvPr id="316930" name="Rectangle 28"/>
        <xdr:cNvSpPr>
          <a:spLocks noChangeArrowheads="1"/>
        </xdr:cNvSpPr>
      </xdr:nvSpPr>
      <xdr:spPr bwMode="auto">
        <a:xfrm>
          <a:off x="78181200" y="37147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1571625</xdr:colOff>
      <xdr:row>16</xdr:row>
      <xdr:rowOff>142875</xdr:rowOff>
    </xdr:from>
    <xdr:to>
      <xdr:col>106</xdr:col>
      <xdr:colOff>0</xdr:colOff>
      <xdr:row>17</xdr:row>
      <xdr:rowOff>95250</xdr:rowOff>
    </xdr:to>
    <xdr:sp macro="" textlink="">
      <xdr:nvSpPr>
        <xdr:cNvPr id="316931" name="Rectangle 28"/>
        <xdr:cNvSpPr>
          <a:spLocks noChangeArrowheads="1"/>
        </xdr:cNvSpPr>
      </xdr:nvSpPr>
      <xdr:spPr bwMode="auto">
        <a:xfrm>
          <a:off x="78181200" y="39147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1571625</xdr:colOff>
      <xdr:row>16</xdr:row>
      <xdr:rowOff>142875</xdr:rowOff>
    </xdr:from>
    <xdr:to>
      <xdr:col>106</xdr:col>
      <xdr:colOff>0</xdr:colOff>
      <xdr:row>17</xdr:row>
      <xdr:rowOff>95250</xdr:rowOff>
    </xdr:to>
    <xdr:sp macro="" textlink="">
      <xdr:nvSpPr>
        <xdr:cNvPr id="316932" name="Rectangle 28"/>
        <xdr:cNvSpPr>
          <a:spLocks noChangeArrowheads="1"/>
        </xdr:cNvSpPr>
      </xdr:nvSpPr>
      <xdr:spPr bwMode="auto">
        <a:xfrm>
          <a:off x="78181200" y="39147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1571625</xdr:colOff>
      <xdr:row>16</xdr:row>
      <xdr:rowOff>142875</xdr:rowOff>
    </xdr:from>
    <xdr:to>
      <xdr:col>106</xdr:col>
      <xdr:colOff>0</xdr:colOff>
      <xdr:row>17</xdr:row>
      <xdr:rowOff>95250</xdr:rowOff>
    </xdr:to>
    <xdr:sp macro="" textlink="">
      <xdr:nvSpPr>
        <xdr:cNvPr id="316933" name="Rectangle 28"/>
        <xdr:cNvSpPr>
          <a:spLocks noChangeArrowheads="1"/>
        </xdr:cNvSpPr>
      </xdr:nvSpPr>
      <xdr:spPr bwMode="auto">
        <a:xfrm>
          <a:off x="78181200" y="39147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1571625</xdr:colOff>
      <xdr:row>16</xdr:row>
      <xdr:rowOff>142875</xdr:rowOff>
    </xdr:from>
    <xdr:to>
      <xdr:col>106</xdr:col>
      <xdr:colOff>0</xdr:colOff>
      <xdr:row>17</xdr:row>
      <xdr:rowOff>95250</xdr:rowOff>
    </xdr:to>
    <xdr:sp macro="" textlink="">
      <xdr:nvSpPr>
        <xdr:cNvPr id="316934" name="Rectangle 28"/>
        <xdr:cNvSpPr>
          <a:spLocks noChangeArrowheads="1"/>
        </xdr:cNvSpPr>
      </xdr:nvSpPr>
      <xdr:spPr bwMode="auto">
        <a:xfrm>
          <a:off x="78181200" y="39147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1571625</xdr:colOff>
      <xdr:row>16</xdr:row>
      <xdr:rowOff>142875</xdr:rowOff>
    </xdr:from>
    <xdr:to>
      <xdr:col>106</xdr:col>
      <xdr:colOff>0</xdr:colOff>
      <xdr:row>17</xdr:row>
      <xdr:rowOff>95250</xdr:rowOff>
    </xdr:to>
    <xdr:sp macro="" textlink="">
      <xdr:nvSpPr>
        <xdr:cNvPr id="316935" name="Rectangle 28"/>
        <xdr:cNvSpPr>
          <a:spLocks noChangeArrowheads="1"/>
        </xdr:cNvSpPr>
      </xdr:nvSpPr>
      <xdr:spPr bwMode="auto">
        <a:xfrm>
          <a:off x="78181200" y="39147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1571625</xdr:colOff>
      <xdr:row>16</xdr:row>
      <xdr:rowOff>142875</xdr:rowOff>
    </xdr:from>
    <xdr:to>
      <xdr:col>106</xdr:col>
      <xdr:colOff>0</xdr:colOff>
      <xdr:row>17</xdr:row>
      <xdr:rowOff>95250</xdr:rowOff>
    </xdr:to>
    <xdr:sp macro="" textlink="">
      <xdr:nvSpPr>
        <xdr:cNvPr id="316936" name="Rectangle 28"/>
        <xdr:cNvSpPr>
          <a:spLocks noChangeArrowheads="1"/>
        </xdr:cNvSpPr>
      </xdr:nvSpPr>
      <xdr:spPr bwMode="auto">
        <a:xfrm>
          <a:off x="78181200" y="39147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1571625</xdr:colOff>
      <xdr:row>17</xdr:row>
      <xdr:rowOff>133350</xdr:rowOff>
    </xdr:from>
    <xdr:to>
      <xdr:col>106</xdr:col>
      <xdr:colOff>0</xdr:colOff>
      <xdr:row>18</xdr:row>
      <xdr:rowOff>76200</xdr:rowOff>
    </xdr:to>
    <xdr:sp macro="" textlink="">
      <xdr:nvSpPr>
        <xdr:cNvPr id="316937" name="Rectangle 28"/>
        <xdr:cNvSpPr>
          <a:spLocks noChangeArrowheads="1"/>
        </xdr:cNvSpPr>
      </xdr:nvSpPr>
      <xdr:spPr bwMode="auto">
        <a:xfrm>
          <a:off x="78181200" y="4105275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1571625</xdr:colOff>
      <xdr:row>17</xdr:row>
      <xdr:rowOff>133350</xdr:rowOff>
    </xdr:from>
    <xdr:to>
      <xdr:col>106</xdr:col>
      <xdr:colOff>0</xdr:colOff>
      <xdr:row>18</xdr:row>
      <xdr:rowOff>76200</xdr:rowOff>
    </xdr:to>
    <xdr:sp macro="" textlink="">
      <xdr:nvSpPr>
        <xdr:cNvPr id="316938" name="Rectangle 28"/>
        <xdr:cNvSpPr>
          <a:spLocks noChangeArrowheads="1"/>
        </xdr:cNvSpPr>
      </xdr:nvSpPr>
      <xdr:spPr bwMode="auto">
        <a:xfrm>
          <a:off x="78181200" y="4105275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1571625</xdr:colOff>
      <xdr:row>17</xdr:row>
      <xdr:rowOff>133350</xdr:rowOff>
    </xdr:from>
    <xdr:to>
      <xdr:col>106</xdr:col>
      <xdr:colOff>0</xdr:colOff>
      <xdr:row>18</xdr:row>
      <xdr:rowOff>76200</xdr:rowOff>
    </xdr:to>
    <xdr:sp macro="" textlink="">
      <xdr:nvSpPr>
        <xdr:cNvPr id="316939" name="Rectangle 28"/>
        <xdr:cNvSpPr>
          <a:spLocks noChangeArrowheads="1"/>
        </xdr:cNvSpPr>
      </xdr:nvSpPr>
      <xdr:spPr bwMode="auto">
        <a:xfrm>
          <a:off x="78181200" y="4105275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1571625</xdr:colOff>
      <xdr:row>17</xdr:row>
      <xdr:rowOff>133350</xdr:rowOff>
    </xdr:from>
    <xdr:to>
      <xdr:col>106</xdr:col>
      <xdr:colOff>0</xdr:colOff>
      <xdr:row>18</xdr:row>
      <xdr:rowOff>76200</xdr:rowOff>
    </xdr:to>
    <xdr:sp macro="" textlink="">
      <xdr:nvSpPr>
        <xdr:cNvPr id="316940" name="Rectangle 28"/>
        <xdr:cNvSpPr>
          <a:spLocks noChangeArrowheads="1"/>
        </xdr:cNvSpPr>
      </xdr:nvSpPr>
      <xdr:spPr bwMode="auto">
        <a:xfrm>
          <a:off x="78181200" y="4105275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1571625</xdr:colOff>
      <xdr:row>17</xdr:row>
      <xdr:rowOff>133350</xdr:rowOff>
    </xdr:from>
    <xdr:to>
      <xdr:col>106</xdr:col>
      <xdr:colOff>0</xdr:colOff>
      <xdr:row>18</xdr:row>
      <xdr:rowOff>76200</xdr:rowOff>
    </xdr:to>
    <xdr:sp macro="" textlink="">
      <xdr:nvSpPr>
        <xdr:cNvPr id="316941" name="Rectangle 28"/>
        <xdr:cNvSpPr>
          <a:spLocks noChangeArrowheads="1"/>
        </xdr:cNvSpPr>
      </xdr:nvSpPr>
      <xdr:spPr bwMode="auto">
        <a:xfrm>
          <a:off x="78181200" y="4105275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1571625</xdr:colOff>
      <xdr:row>17</xdr:row>
      <xdr:rowOff>133350</xdr:rowOff>
    </xdr:from>
    <xdr:to>
      <xdr:col>106</xdr:col>
      <xdr:colOff>0</xdr:colOff>
      <xdr:row>18</xdr:row>
      <xdr:rowOff>76200</xdr:rowOff>
    </xdr:to>
    <xdr:sp macro="" textlink="">
      <xdr:nvSpPr>
        <xdr:cNvPr id="316942" name="Rectangle 28"/>
        <xdr:cNvSpPr>
          <a:spLocks noChangeArrowheads="1"/>
        </xdr:cNvSpPr>
      </xdr:nvSpPr>
      <xdr:spPr bwMode="auto">
        <a:xfrm>
          <a:off x="78181200" y="4105275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1571625</xdr:colOff>
      <xdr:row>18</xdr:row>
      <xdr:rowOff>123825</xdr:rowOff>
    </xdr:from>
    <xdr:to>
      <xdr:col>106</xdr:col>
      <xdr:colOff>0</xdr:colOff>
      <xdr:row>19</xdr:row>
      <xdr:rowOff>66675</xdr:rowOff>
    </xdr:to>
    <xdr:sp macro="" textlink="">
      <xdr:nvSpPr>
        <xdr:cNvPr id="316943" name="Rectangle 28"/>
        <xdr:cNvSpPr>
          <a:spLocks noChangeArrowheads="1"/>
        </xdr:cNvSpPr>
      </xdr:nvSpPr>
      <xdr:spPr bwMode="auto">
        <a:xfrm>
          <a:off x="78181200" y="4295775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1571625</xdr:colOff>
      <xdr:row>18</xdr:row>
      <xdr:rowOff>123825</xdr:rowOff>
    </xdr:from>
    <xdr:to>
      <xdr:col>106</xdr:col>
      <xdr:colOff>0</xdr:colOff>
      <xdr:row>19</xdr:row>
      <xdr:rowOff>66675</xdr:rowOff>
    </xdr:to>
    <xdr:sp macro="" textlink="">
      <xdr:nvSpPr>
        <xdr:cNvPr id="316944" name="Rectangle 28"/>
        <xdr:cNvSpPr>
          <a:spLocks noChangeArrowheads="1"/>
        </xdr:cNvSpPr>
      </xdr:nvSpPr>
      <xdr:spPr bwMode="auto">
        <a:xfrm>
          <a:off x="78181200" y="4295775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1571625</xdr:colOff>
      <xdr:row>18</xdr:row>
      <xdr:rowOff>123825</xdr:rowOff>
    </xdr:from>
    <xdr:to>
      <xdr:col>106</xdr:col>
      <xdr:colOff>0</xdr:colOff>
      <xdr:row>19</xdr:row>
      <xdr:rowOff>66675</xdr:rowOff>
    </xdr:to>
    <xdr:sp macro="" textlink="">
      <xdr:nvSpPr>
        <xdr:cNvPr id="316945" name="Rectangle 28"/>
        <xdr:cNvSpPr>
          <a:spLocks noChangeArrowheads="1"/>
        </xdr:cNvSpPr>
      </xdr:nvSpPr>
      <xdr:spPr bwMode="auto">
        <a:xfrm>
          <a:off x="78181200" y="4295775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1571625</xdr:colOff>
      <xdr:row>18</xdr:row>
      <xdr:rowOff>123825</xdr:rowOff>
    </xdr:from>
    <xdr:to>
      <xdr:col>106</xdr:col>
      <xdr:colOff>0</xdr:colOff>
      <xdr:row>19</xdr:row>
      <xdr:rowOff>66675</xdr:rowOff>
    </xdr:to>
    <xdr:sp macro="" textlink="">
      <xdr:nvSpPr>
        <xdr:cNvPr id="316946" name="Rectangle 28"/>
        <xdr:cNvSpPr>
          <a:spLocks noChangeArrowheads="1"/>
        </xdr:cNvSpPr>
      </xdr:nvSpPr>
      <xdr:spPr bwMode="auto">
        <a:xfrm>
          <a:off x="78181200" y="4295775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1571625</xdr:colOff>
      <xdr:row>18</xdr:row>
      <xdr:rowOff>123825</xdr:rowOff>
    </xdr:from>
    <xdr:to>
      <xdr:col>106</xdr:col>
      <xdr:colOff>0</xdr:colOff>
      <xdr:row>19</xdr:row>
      <xdr:rowOff>66675</xdr:rowOff>
    </xdr:to>
    <xdr:sp macro="" textlink="">
      <xdr:nvSpPr>
        <xdr:cNvPr id="316947" name="Rectangle 28"/>
        <xdr:cNvSpPr>
          <a:spLocks noChangeArrowheads="1"/>
        </xdr:cNvSpPr>
      </xdr:nvSpPr>
      <xdr:spPr bwMode="auto">
        <a:xfrm>
          <a:off x="78181200" y="4295775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1571625</xdr:colOff>
      <xdr:row>18</xdr:row>
      <xdr:rowOff>123825</xdr:rowOff>
    </xdr:from>
    <xdr:to>
      <xdr:col>106</xdr:col>
      <xdr:colOff>0</xdr:colOff>
      <xdr:row>19</xdr:row>
      <xdr:rowOff>66675</xdr:rowOff>
    </xdr:to>
    <xdr:sp macro="" textlink="">
      <xdr:nvSpPr>
        <xdr:cNvPr id="316948" name="Rectangle 28"/>
        <xdr:cNvSpPr>
          <a:spLocks noChangeArrowheads="1"/>
        </xdr:cNvSpPr>
      </xdr:nvSpPr>
      <xdr:spPr bwMode="auto">
        <a:xfrm>
          <a:off x="78181200" y="4295775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1571625</xdr:colOff>
      <xdr:row>19</xdr:row>
      <xdr:rowOff>104775</xdr:rowOff>
    </xdr:from>
    <xdr:to>
      <xdr:col>106</xdr:col>
      <xdr:colOff>0</xdr:colOff>
      <xdr:row>20</xdr:row>
      <xdr:rowOff>57150</xdr:rowOff>
    </xdr:to>
    <xdr:sp macro="" textlink="">
      <xdr:nvSpPr>
        <xdr:cNvPr id="316949" name="Rectangle 28"/>
        <xdr:cNvSpPr>
          <a:spLocks noChangeArrowheads="1"/>
        </xdr:cNvSpPr>
      </xdr:nvSpPr>
      <xdr:spPr bwMode="auto">
        <a:xfrm>
          <a:off x="78181200" y="44767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1571625</xdr:colOff>
      <xdr:row>19</xdr:row>
      <xdr:rowOff>104775</xdr:rowOff>
    </xdr:from>
    <xdr:to>
      <xdr:col>106</xdr:col>
      <xdr:colOff>0</xdr:colOff>
      <xdr:row>20</xdr:row>
      <xdr:rowOff>57150</xdr:rowOff>
    </xdr:to>
    <xdr:sp macro="" textlink="">
      <xdr:nvSpPr>
        <xdr:cNvPr id="316950" name="Rectangle 28"/>
        <xdr:cNvSpPr>
          <a:spLocks noChangeArrowheads="1"/>
        </xdr:cNvSpPr>
      </xdr:nvSpPr>
      <xdr:spPr bwMode="auto">
        <a:xfrm>
          <a:off x="78181200" y="44767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1571625</xdr:colOff>
      <xdr:row>19</xdr:row>
      <xdr:rowOff>104775</xdr:rowOff>
    </xdr:from>
    <xdr:to>
      <xdr:col>106</xdr:col>
      <xdr:colOff>0</xdr:colOff>
      <xdr:row>20</xdr:row>
      <xdr:rowOff>57150</xdr:rowOff>
    </xdr:to>
    <xdr:sp macro="" textlink="">
      <xdr:nvSpPr>
        <xdr:cNvPr id="316951" name="Rectangle 28"/>
        <xdr:cNvSpPr>
          <a:spLocks noChangeArrowheads="1"/>
        </xdr:cNvSpPr>
      </xdr:nvSpPr>
      <xdr:spPr bwMode="auto">
        <a:xfrm>
          <a:off x="78181200" y="44767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1571625</xdr:colOff>
      <xdr:row>19</xdr:row>
      <xdr:rowOff>104775</xdr:rowOff>
    </xdr:from>
    <xdr:to>
      <xdr:col>106</xdr:col>
      <xdr:colOff>0</xdr:colOff>
      <xdr:row>20</xdr:row>
      <xdr:rowOff>57150</xdr:rowOff>
    </xdr:to>
    <xdr:sp macro="" textlink="">
      <xdr:nvSpPr>
        <xdr:cNvPr id="316952" name="Rectangle 28"/>
        <xdr:cNvSpPr>
          <a:spLocks noChangeArrowheads="1"/>
        </xdr:cNvSpPr>
      </xdr:nvSpPr>
      <xdr:spPr bwMode="auto">
        <a:xfrm>
          <a:off x="78181200" y="44767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1571625</xdr:colOff>
      <xdr:row>19</xdr:row>
      <xdr:rowOff>104775</xdr:rowOff>
    </xdr:from>
    <xdr:to>
      <xdr:col>106</xdr:col>
      <xdr:colOff>0</xdr:colOff>
      <xdr:row>20</xdr:row>
      <xdr:rowOff>57150</xdr:rowOff>
    </xdr:to>
    <xdr:sp macro="" textlink="">
      <xdr:nvSpPr>
        <xdr:cNvPr id="316953" name="Rectangle 28"/>
        <xdr:cNvSpPr>
          <a:spLocks noChangeArrowheads="1"/>
        </xdr:cNvSpPr>
      </xdr:nvSpPr>
      <xdr:spPr bwMode="auto">
        <a:xfrm>
          <a:off x="78181200" y="44767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1571625</xdr:colOff>
      <xdr:row>19</xdr:row>
      <xdr:rowOff>104775</xdr:rowOff>
    </xdr:from>
    <xdr:to>
      <xdr:col>106</xdr:col>
      <xdr:colOff>0</xdr:colOff>
      <xdr:row>20</xdr:row>
      <xdr:rowOff>57150</xdr:rowOff>
    </xdr:to>
    <xdr:sp macro="" textlink="">
      <xdr:nvSpPr>
        <xdr:cNvPr id="316954" name="Rectangle 28"/>
        <xdr:cNvSpPr>
          <a:spLocks noChangeArrowheads="1"/>
        </xdr:cNvSpPr>
      </xdr:nvSpPr>
      <xdr:spPr bwMode="auto">
        <a:xfrm>
          <a:off x="78181200" y="44767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1571625</xdr:colOff>
      <xdr:row>20</xdr:row>
      <xdr:rowOff>104775</xdr:rowOff>
    </xdr:from>
    <xdr:to>
      <xdr:col>106</xdr:col>
      <xdr:colOff>0</xdr:colOff>
      <xdr:row>21</xdr:row>
      <xdr:rowOff>57150</xdr:rowOff>
    </xdr:to>
    <xdr:sp macro="" textlink="">
      <xdr:nvSpPr>
        <xdr:cNvPr id="316955" name="Rectangle 28"/>
        <xdr:cNvSpPr>
          <a:spLocks noChangeArrowheads="1"/>
        </xdr:cNvSpPr>
      </xdr:nvSpPr>
      <xdr:spPr bwMode="auto">
        <a:xfrm>
          <a:off x="78181200" y="46767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1571625</xdr:colOff>
      <xdr:row>20</xdr:row>
      <xdr:rowOff>104775</xdr:rowOff>
    </xdr:from>
    <xdr:to>
      <xdr:col>106</xdr:col>
      <xdr:colOff>0</xdr:colOff>
      <xdr:row>21</xdr:row>
      <xdr:rowOff>57150</xdr:rowOff>
    </xdr:to>
    <xdr:sp macro="" textlink="">
      <xdr:nvSpPr>
        <xdr:cNvPr id="316956" name="Rectangle 28"/>
        <xdr:cNvSpPr>
          <a:spLocks noChangeArrowheads="1"/>
        </xdr:cNvSpPr>
      </xdr:nvSpPr>
      <xdr:spPr bwMode="auto">
        <a:xfrm>
          <a:off x="78181200" y="46767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1571625</xdr:colOff>
      <xdr:row>20</xdr:row>
      <xdr:rowOff>104775</xdr:rowOff>
    </xdr:from>
    <xdr:to>
      <xdr:col>106</xdr:col>
      <xdr:colOff>0</xdr:colOff>
      <xdr:row>21</xdr:row>
      <xdr:rowOff>57150</xdr:rowOff>
    </xdr:to>
    <xdr:sp macro="" textlink="">
      <xdr:nvSpPr>
        <xdr:cNvPr id="316957" name="Rectangle 28"/>
        <xdr:cNvSpPr>
          <a:spLocks noChangeArrowheads="1"/>
        </xdr:cNvSpPr>
      </xdr:nvSpPr>
      <xdr:spPr bwMode="auto">
        <a:xfrm>
          <a:off x="78181200" y="46767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1571625</xdr:colOff>
      <xdr:row>20</xdr:row>
      <xdr:rowOff>104775</xdr:rowOff>
    </xdr:from>
    <xdr:to>
      <xdr:col>106</xdr:col>
      <xdr:colOff>0</xdr:colOff>
      <xdr:row>21</xdr:row>
      <xdr:rowOff>57150</xdr:rowOff>
    </xdr:to>
    <xdr:sp macro="" textlink="">
      <xdr:nvSpPr>
        <xdr:cNvPr id="316958" name="Rectangle 28"/>
        <xdr:cNvSpPr>
          <a:spLocks noChangeArrowheads="1"/>
        </xdr:cNvSpPr>
      </xdr:nvSpPr>
      <xdr:spPr bwMode="auto">
        <a:xfrm>
          <a:off x="78181200" y="46767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1571625</xdr:colOff>
      <xdr:row>20</xdr:row>
      <xdr:rowOff>104775</xdr:rowOff>
    </xdr:from>
    <xdr:to>
      <xdr:col>106</xdr:col>
      <xdr:colOff>0</xdr:colOff>
      <xdr:row>21</xdr:row>
      <xdr:rowOff>57150</xdr:rowOff>
    </xdr:to>
    <xdr:sp macro="" textlink="">
      <xdr:nvSpPr>
        <xdr:cNvPr id="316959" name="Rectangle 28"/>
        <xdr:cNvSpPr>
          <a:spLocks noChangeArrowheads="1"/>
        </xdr:cNvSpPr>
      </xdr:nvSpPr>
      <xdr:spPr bwMode="auto">
        <a:xfrm>
          <a:off x="78181200" y="46767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1571625</xdr:colOff>
      <xdr:row>20</xdr:row>
      <xdr:rowOff>104775</xdr:rowOff>
    </xdr:from>
    <xdr:to>
      <xdr:col>106</xdr:col>
      <xdr:colOff>0</xdr:colOff>
      <xdr:row>21</xdr:row>
      <xdr:rowOff>57150</xdr:rowOff>
    </xdr:to>
    <xdr:sp macro="" textlink="">
      <xdr:nvSpPr>
        <xdr:cNvPr id="316960" name="Rectangle 28"/>
        <xdr:cNvSpPr>
          <a:spLocks noChangeArrowheads="1"/>
        </xdr:cNvSpPr>
      </xdr:nvSpPr>
      <xdr:spPr bwMode="auto">
        <a:xfrm>
          <a:off x="78181200" y="46767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1571625</xdr:colOff>
      <xdr:row>21</xdr:row>
      <xdr:rowOff>95250</xdr:rowOff>
    </xdr:from>
    <xdr:to>
      <xdr:col>106</xdr:col>
      <xdr:colOff>0</xdr:colOff>
      <xdr:row>22</xdr:row>
      <xdr:rowOff>57150</xdr:rowOff>
    </xdr:to>
    <xdr:sp macro="" textlink="">
      <xdr:nvSpPr>
        <xdr:cNvPr id="316961" name="Rectangle 28"/>
        <xdr:cNvSpPr>
          <a:spLocks noChangeArrowheads="1"/>
        </xdr:cNvSpPr>
      </xdr:nvSpPr>
      <xdr:spPr bwMode="auto">
        <a:xfrm>
          <a:off x="78181200" y="4867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1571625</xdr:colOff>
      <xdr:row>21</xdr:row>
      <xdr:rowOff>95250</xdr:rowOff>
    </xdr:from>
    <xdr:to>
      <xdr:col>106</xdr:col>
      <xdr:colOff>0</xdr:colOff>
      <xdr:row>22</xdr:row>
      <xdr:rowOff>57150</xdr:rowOff>
    </xdr:to>
    <xdr:sp macro="" textlink="">
      <xdr:nvSpPr>
        <xdr:cNvPr id="316962" name="Rectangle 28"/>
        <xdr:cNvSpPr>
          <a:spLocks noChangeArrowheads="1"/>
        </xdr:cNvSpPr>
      </xdr:nvSpPr>
      <xdr:spPr bwMode="auto">
        <a:xfrm>
          <a:off x="78181200" y="4867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1571625</xdr:colOff>
      <xdr:row>21</xdr:row>
      <xdr:rowOff>95250</xdr:rowOff>
    </xdr:from>
    <xdr:to>
      <xdr:col>106</xdr:col>
      <xdr:colOff>0</xdr:colOff>
      <xdr:row>22</xdr:row>
      <xdr:rowOff>57150</xdr:rowOff>
    </xdr:to>
    <xdr:sp macro="" textlink="">
      <xdr:nvSpPr>
        <xdr:cNvPr id="316963" name="Rectangle 28"/>
        <xdr:cNvSpPr>
          <a:spLocks noChangeArrowheads="1"/>
        </xdr:cNvSpPr>
      </xdr:nvSpPr>
      <xdr:spPr bwMode="auto">
        <a:xfrm>
          <a:off x="78181200" y="4867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1571625</xdr:colOff>
      <xdr:row>21</xdr:row>
      <xdr:rowOff>95250</xdr:rowOff>
    </xdr:from>
    <xdr:to>
      <xdr:col>106</xdr:col>
      <xdr:colOff>0</xdr:colOff>
      <xdr:row>22</xdr:row>
      <xdr:rowOff>57150</xdr:rowOff>
    </xdr:to>
    <xdr:sp macro="" textlink="">
      <xdr:nvSpPr>
        <xdr:cNvPr id="316964" name="Rectangle 28"/>
        <xdr:cNvSpPr>
          <a:spLocks noChangeArrowheads="1"/>
        </xdr:cNvSpPr>
      </xdr:nvSpPr>
      <xdr:spPr bwMode="auto">
        <a:xfrm>
          <a:off x="78181200" y="4867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1571625</xdr:colOff>
      <xdr:row>21</xdr:row>
      <xdr:rowOff>95250</xdr:rowOff>
    </xdr:from>
    <xdr:to>
      <xdr:col>106</xdr:col>
      <xdr:colOff>0</xdr:colOff>
      <xdr:row>22</xdr:row>
      <xdr:rowOff>57150</xdr:rowOff>
    </xdr:to>
    <xdr:sp macro="" textlink="">
      <xdr:nvSpPr>
        <xdr:cNvPr id="316965" name="Rectangle 28"/>
        <xdr:cNvSpPr>
          <a:spLocks noChangeArrowheads="1"/>
        </xdr:cNvSpPr>
      </xdr:nvSpPr>
      <xdr:spPr bwMode="auto">
        <a:xfrm>
          <a:off x="78181200" y="4867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1571625</xdr:colOff>
      <xdr:row>21</xdr:row>
      <xdr:rowOff>95250</xdr:rowOff>
    </xdr:from>
    <xdr:to>
      <xdr:col>106</xdr:col>
      <xdr:colOff>0</xdr:colOff>
      <xdr:row>22</xdr:row>
      <xdr:rowOff>57150</xdr:rowOff>
    </xdr:to>
    <xdr:sp macro="" textlink="">
      <xdr:nvSpPr>
        <xdr:cNvPr id="316966" name="Rectangle 28"/>
        <xdr:cNvSpPr>
          <a:spLocks noChangeArrowheads="1"/>
        </xdr:cNvSpPr>
      </xdr:nvSpPr>
      <xdr:spPr bwMode="auto">
        <a:xfrm>
          <a:off x="78181200" y="48672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1571625</xdr:colOff>
      <xdr:row>22</xdr:row>
      <xdr:rowOff>76200</xdr:rowOff>
    </xdr:from>
    <xdr:to>
      <xdr:col>106</xdr:col>
      <xdr:colOff>0</xdr:colOff>
      <xdr:row>23</xdr:row>
      <xdr:rowOff>28575</xdr:rowOff>
    </xdr:to>
    <xdr:sp macro="" textlink="">
      <xdr:nvSpPr>
        <xdr:cNvPr id="316967" name="Rectangle 28"/>
        <xdr:cNvSpPr>
          <a:spLocks noChangeArrowheads="1"/>
        </xdr:cNvSpPr>
      </xdr:nvSpPr>
      <xdr:spPr bwMode="auto">
        <a:xfrm>
          <a:off x="78181200" y="50482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1571625</xdr:colOff>
      <xdr:row>22</xdr:row>
      <xdr:rowOff>76200</xdr:rowOff>
    </xdr:from>
    <xdr:to>
      <xdr:col>106</xdr:col>
      <xdr:colOff>0</xdr:colOff>
      <xdr:row>23</xdr:row>
      <xdr:rowOff>28575</xdr:rowOff>
    </xdr:to>
    <xdr:sp macro="" textlink="">
      <xdr:nvSpPr>
        <xdr:cNvPr id="316968" name="Rectangle 28"/>
        <xdr:cNvSpPr>
          <a:spLocks noChangeArrowheads="1"/>
        </xdr:cNvSpPr>
      </xdr:nvSpPr>
      <xdr:spPr bwMode="auto">
        <a:xfrm>
          <a:off x="78181200" y="50482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1571625</xdr:colOff>
      <xdr:row>22</xdr:row>
      <xdr:rowOff>76200</xdr:rowOff>
    </xdr:from>
    <xdr:to>
      <xdr:col>106</xdr:col>
      <xdr:colOff>0</xdr:colOff>
      <xdr:row>23</xdr:row>
      <xdr:rowOff>28575</xdr:rowOff>
    </xdr:to>
    <xdr:sp macro="" textlink="">
      <xdr:nvSpPr>
        <xdr:cNvPr id="316969" name="Rectangle 28"/>
        <xdr:cNvSpPr>
          <a:spLocks noChangeArrowheads="1"/>
        </xdr:cNvSpPr>
      </xdr:nvSpPr>
      <xdr:spPr bwMode="auto">
        <a:xfrm>
          <a:off x="78181200" y="50482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1571625</xdr:colOff>
      <xdr:row>22</xdr:row>
      <xdr:rowOff>76200</xdr:rowOff>
    </xdr:from>
    <xdr:to>
      <xdr:col>106</xdr:col>
      <xdr:colOff>0</xdr:colOff>
      <xdr:row>23</xdr:row>
      <xdr:rowOff>28575</xdr:rowOff>
    </xdr:to>
    <xdr:sp macro="" textlink="">
      <xdr:nvSpPr>
        <xdr:cNvPr id="316970" name="Rectangle 28"/>
        <xdr:cNvSpPr>
          <a:spLocks noChangeArrowheads="1"/>
        </xdr:cNvSpPr>
      </xdr:nvSpPr>
      <xdr:spPr bwMode="auto">
        <a:xfrm>
          <a:off x="78181200" y="50482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1571625</xdr:colOff>
      <xdr:row>22</xdr:row>
      <xdr:rowOff>76200</xdr:rowOff>
    </xdr:from>
    <xdr:to>
      <xdr:col>106</xdr:col>
      <xdr:colOff>0</xdr:colOff>
      <xdr:row>23</xdr:row>
      <xdr:rowOff>28575</xdr:rowOff>
    </xdr:to>
    <xdr:sp macro="" textlink="">
      <xdr:nvSpPr>
        <xdr:cNvPr id="316971" name="Rectangle 28"/>
        <xdr:cNvSpPr>
          <a:spLocks noChangeArrowheads="1"/>
        </xdr:cNvSpPr>
      </xdr:nvSpPr>
      <xdr:spPr bwMode="auto">
        <a:xfrm>
          <a:off x="78181200" y="50482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1571625</xdr:colOff>
      <xdr:row>22</xdr:row>
      <xdr:rowOff>76200</xdr:rowOff>
    </xdr:from>
    <xdr:to>
      <xdr:col>106</xdr:col>
      <xdr:colOff>0</xdr:colOff>
      <xdr:row>23</xdr:row>
      <xdr:rowOff>28575</xdr:rowOff>
    </xdr:to>
    <xdr:sp macro="" textlink="">
      <xdr:nvSpPr>
        <xdr:cNvPr id="316972" name="Rectangle 28"/>
        <xdr:cNvSpPr>
          <a:spLocks noChangeArrowheads="1"/>
        </xdr:cNvSpPr>
      </xdr:nvSpPr>
      <xdr:spPr bwMode="auto">
        <a:xfrm>
          <a:off x="78181200" y="50482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1571625</xdr:colOff>
      <xdr:row>23</xdr:row>
      <xdr:rowOff>66675</xdr:rowOff>
    </xdr:from>
    <xdr:to>
      <xdr:col>106</xdr:col>
      <xdr:colOff>0</xdr:colOff>
      <xdr:row>24</xdr:row>
      <xdr:rowOff>9525</xdr:rowOff>
    </xdr:to>
    <xdr:sp macro="" textlink="">
      <xdr:nvSpPr>
        <xdr:cNvPr id="316973" name="Rectangle 28"/>
        <xdr:cNvSpPr>
          <a:spLocks noChangeArrowheads="1"/>
        </xdr:cNvSpPr>
      </xdr:nvSpPr>
      <xdr:spPr bwMode="auto">
        <a:xfrm>
          <a:off x="78181200" y="523875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1571625</xdr:colOff>
      <xdr:row>23</xdr:row>
      <xdr:rowOff>66675</xdr:rowOff>
    </xdr:from>
    <xdr:to>
      <xdr:col>106</xdr:col>
      <xdr:colOff>0</xdr:colOff>
      <xdr:row>24</xdr:row>
      <xdr:rowOff>9525</xdr:rowOff>
    </xdr:to>
    <xdr:sp macro="" textlink="">
      <xdr:nvSpPr>
        <xdr:cNvPr id="316974" name="Rectangle 28"/>
        <xdr:cNvSpPr>
          <a:spLocks noChangeArrowheads="1"/>
        </xdr:cNvSpPr>
      </xdr:nvSpPr>
      <xdr:spPr bwMode="auto">
        <a:xfrm>
          <a:off x="78181200" y="523875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1571625</xdr:colOff>
      <xdr:row>23</xdr:row>
      <xdr:rowOff>66675</xdr:rowOff>
    </xdr:from>
    <xdr:to>
      <xdr:col>106</xdr:col>
      <xdr:colOff>0</xdr:colOff>
      <xdr:row>24</xdr:row>
      <xdr:rowOff>9525</xdr:rowOff>
    </xdr:to>
    <xdr:sp macro="" textlink="">
      <xdr:nvSpPr>
        <xdr:cNvPr id="316975" name="Rectangle 28"/>
        <xdr:cNvSpPr>
          <a:spLocks noChangeArrowheads="1"/>
        </xdr:cNvSpPr>
      </xdr:nvSpPr>
      <xdr:spPr bwMode="auto">
        <a:xfrm>
          <a:off x="78181200" y="523875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1571625</xdr:colOff>
      <xdr:row>23</xdr:row>
      <xdr:rowOff>66675</xdr:rowOff>
    </xdr:from>
    <xdr:to>
      <xdr:col>106</xdr:col>
      <xdr:colOff>0</xdr:colOff>
      <xdr:row>24</xdr:row>
      <xdr:rowOff>9525</xdr:rowOff>
    </xdr:to>
    <xdr:sp macro="" textlink="">
      <xdr:nvSpPr>
        <xdr:cNvPr id="316976" name="Rectangle 28"/>
        <xdr:cNvSpPr>
          <a:spLocks noChangeArrowheads="1"/>
        </xdr:cNvSpPr>
      </xdr:nvSpPr>
      <xdr:spPr bwMode="auto">
        <a:xfrm>
          <a:off x="78181200" y="523875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1571625</xdr:colOff>
      <xdr:row>23</xdr:row>
      <xdr:rowOff>66675</xdr:rowOff>
    </xdr:from>
    <xdr:to>
      <xdr:col>106</xdr:col>
      <xdr:colOff>0</xdr:colOff>
      <xdr:row>24</xdr:row>
      <xdr:rowOff>9525</xdr:rowOff>
    </xdr:to>
    <xdr:sp macro="" textlink="">
      <xdr:nvSpPr>
        <xdr:cNvPr id="316977" name="Rectangle 28"/>
        <xdr:cNvSpPr>
          <a:spLocks noChangeArrowheads="1"/>
        </xdr:cNvSpPr>
      </xdr:nvSpPr>
      <xdr:spPr bwMode="auto">
        <a:xfrm>
          <a:off x="78181200" y="523875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1571625</xdr:colOff>
      <xdr:row>23</xdr:row>
      <xdr:rowOff>66675</xdr:rowOff>
    </xdr:from>
    <xdr:to>
      <xdr:col>106</xdr:col>
      <xdr:colOff>0</xdr:colOff>
      <xdr:row>24</xdr:row>
      <xdr:rowOff>9525</xdr:rowOff>
    </xdr:to>
    <xdr:sp macro="" textlink="">
      <xdr:nvSpPr>
        <xdr:cNvPr id="316978" name="Rectangle 28"/>
        <xdr:cNvSpPr>
          <a:spLocks noChangeArrowheads="1"/>
        </xdr:cNvSpPr>
      </xdr:nvSpPr>
      <xdr:spPr bwMode="auto">
        <a:xfrm>
          <a:off x="78181200" y="523875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1571625</xdr:colOff>
      <xdr:row>24</xdr:row>
      <xdr:rowOff>66675</xdr:rowOff>
    </xdr:from>
    <xdr:to>
      <xdr:col>106</xdr:col>
      <xdr:colOff>0</xdr:colOff>
      <xdr:row>25</xdr:row>
      <xdr:rowOff>9525</xdr:rowOff>
    </xdr:to>
    <xdr:sp macro="" textlink="">
      <xdr:nvSpPr>
        <xdr:cNvPr id="316979" name="Rectangle 28"/>
        <xdr:cNvSpPr>
          <a:spLocks noChangeArrowheads="1"/>
        </xdr:cNvSpPr>
      </xdr:nvSpPr>
      <xdr:spPr bwMode="auto">
        <a:xfrm>
          <a:off x="78181200" y="5438775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1571625</xdr:colOff>
      <xdr:row>24</xdr:row>
      <xdr:rowOff>66675</xdr:rowOff>
    </xdr:from>
    <xdr:to>
      <xdr:col>106</xdr:col>
      <xdr:colOff>0</xdr:colOff>
      <xdr:row>25</xdr:row>
      <xdr:rowOff>9525</xdr:rowOff>
    </xdr:to>
    <xdr:sp macro="" textlink="">
      <xdr:nvSpPr>
        <xdr:cNvPr id="316980" name="Rectangle 28"/>
        <xdr:cNvSpPr>
          <a:spLocks noChangeArrowheads="1"/>
        </xdr:cNvSpPr>
      </xdr:nvSpPr>
      <xdr:spPr bwMode="auto">
        <a:xfrm>
          <a:off x="78181200" y="5438775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1571625</xdr:colOff>
      <xdr:row>24</xdr:row>
      <xdr:rowOff>66675</xdr:rowOff>
    </xdr:from>
    <xdr:to>
      <xdr:col>106</xdr:col>
      <xdr:colOff>0</xdr:colOff>
      <xdr:row>25</xdr:row>
      <xdr:rowOff>9525</xdr:rowOff>
    </xdr:to>
    <xdr:sp macro="" textlink="">
      <xdr:nvSpPr>
        <xdr:cNvPr id="316981" name="Rectangle 28"/>
        <xdr:cNvSpPr>
          <a:spLocks noChangeArrowheads="1"/>
        </xdr:cNvSpPr>
      </xdr:nvSpPr>
      <xdr:spPr bwMode="auto">
        <a:xfrm>
          <a:off x="78181200" y="5438775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1571625</xdr:colOff>
      <xdr:row>24</xdr:row>
      <xdr:rowOff>66675</xdr:rowOff>
    </xdr:from>
    <xdr:to>
      <xdr:col>106</xdr:col>
      <xdr:colOff>0</xdr:colOff>
      <xdr:row>25</xdr:row>
      <xdr:rowOff>9525</xdr:rowOff>
    </xdr:to>
    <xdr:sp macro="" textlink="">
      <xdr:nvSpPr>
        <xdr:cNvPr id="316982" name="Rectangle 28"/>
        <xdr:cNvSpPr>
          <a:spLocks noChangeArrowheads="1"/>
        </xdr:cNvSpPr>
      </xdr:nvSpPr>
      <xdr:spPr bwMode="auto">
        <a:xfrm>
          <a:off x="78181200" y="5438775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1571625</xdr:colOff>
      <xdr:row>24</xdr:row>
      <xdr:rowOff>66675</xdr:rowOff>
    </xdr:from>
    <xdr:to>
      <xdr:col>106</xdr:col>
      <xdr:colOff>0</xdr:colOff>
      <xdr:row>25</xdr:row>
      <xdr:rowOff>9525</xdr:rowOff>
    </xdr:to>
    <xdr:sp macro="" textlink="">
      <xdr:nvSpPr>
        <xdr:cNvPr id="316983" name="Rectangle 28"/>
        <xdr:cNvSpPr>
          <a:spLocks noChangeArrowheads="1"/>
        </xdr:cNvSpPr>
      </xdr:nvSpPr>
      <xdr:spPr bwMode="auto">
        <a:xfrm>
          <a:off x="78181200" y="5438775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1571625</xdr:colOff>
      <xdr:row>24</xdr:row>
      <xdr:rowOff>66675</xdr:rowOff>
    </xdr:from>
    <xdr:to>
      <xdr:col>106</xdr:col>
      <xdr:colOff>0</xdr:colOff>
      <xdr:row>25</xdr:row>
      <xdr:rowOff>9525</xdr:rowOff>
    </xdr:to>
    <xdr:sp macro="" textlink="">
      <xdr:nvSpPr>
        <xdr:cNvPr id="316984" name="Rectangle 28"/>
        <xdr:cNvSpPr>
          <a:spLocks noChangeArrowheads="1"/>
        </xdr:cNvSpPr>
      </xdr:nvSpPr>
      <xdr:spPr bwMode="auto">
        <a:xfrm>
          <a:off x="78181200" y="5438775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1571625</xdr:colOff>
      <xdr:row>25</xdr:row>
      <xdr:rowOff>57150</xdr:rowOff>
    </xdr:from>
    <xdr:to>
      <xdr:col>106</xdr:col>
      <xdr:colOff>0</xdr:colOff>
      <xdr:row>26</xdr:row>
      <xdr:rowOff>9525</xdr:rowOff>
    </xdr:to>
    <xdr:sp macro="" textlink="">
      <xdr:nvSpPr>
        <xdr:cNvPr id="316985" name="Rectangle 28"/>
        <xdr:cNvSpPr>
          <a:spLocks noChangeArrowheads="1"/>
        </xdr:cNvSpPr>
      </xdr:nvSpPr>
      <xdr:spPr bwMode="auto">
        <a:xfrm>
          <a:off x="78181200" y="5629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1571625</xdr:colOff>
      <xdr:row>25</xdr:row>
      <xdr:rowOff>57150</xdr:rowOff>
    </xdr:from>
    <xdr:to>
      <xdr:col>106</xdr:col>
      <xdr:colOff>0</xdr:colOff>
      <xdr:row>26</xdr:row>
      <xdr:rowOff>9525</xdr:rowOff>
    </xdr:to>
    <xdr:sp macro="" textlink="">
      <xdr:nvSpPr>
        <xdr:cNvPr id="316986" name="Rectangle 28"/>
        <xdr:cNvSpPr>
          <a:spLocks noChangeArrowheads="1"/>
        </xdr:cNvSpPr>
      </xdr:nvSpPr>
      <xdr:spPr bwMode="auto">
        <a:xfrm>
          <a:off x="78181200" y="5629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1571625</xdr:colOff>
      <xdr:row>25</xdr:row>
      <xdr:rowOff>57150</xdr:rowOff>
    </xdr:from>
    <xdr:to>
      <xdr:col>106</xdr:col>
      <xdr:colOff>0</xdr:colOff>
      <xdr:row>26</xdr:row>
      <xdr:rowOff>9525</xdr:rowOff>
    </xdr:to>
    <xdr:sp macro="" textlink="">
      <xdr:nvSpPr>
        <xdr:cNvPr id="316987" name="Rectangle 28"/>
        <xdr:cNvSpPr>
          <a:spLocks noChangeArrowheads="1"/>
        </xdr:cNvSpPr>
      </xdr:nvSpPr>
      <xdr:spPr bwMode="auto">
        <a:xfrm>
          <a:off x="78181200" y="5629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1571625</xdr:colOff>
      <xdr:row>25</xdr:row>
      <xdr:rowOff>57150</xdr:rowOff>
    </xdr:from>
    <xdr:to>
      <xdr:col>106</xdr:col>
      <xdr:colOff>0</xdr:colOff>
      <xdr:row>26</xdr:row>
      <xdr:rowOff>9525</xdr:rowOff>
    </xdr:to>
    <xdr:sp macro="" textlink="">
      <xdr:nvSpPr>
        <xdr:cNvPr id="316988" name="Rectangle 28"/>
        <xdr:cNvSpPr>
          <a:spLocks noChangeArrowheads="1"/>
        </xdr:cNvSpPr>
      </xdr:nvSpPr>
      <xdr:spPr bwMode="auto">
        <a:xfrm>
          <a:off x="78181200" y="5629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1571625</xdr:colOff>
      <xdr:row>25</xdr:row>
      <xdr:rowOff>57150</xdr:rowOff>
    </xdr:from>
    <xdr:to>
      <xdr:col>106</xdr:col>
      <xdr:colOff>0</xdr:colOff>
      <xdr:row>26</xdr:row>
      <xdr:rowOff>9525</xdr:rowOff>
    </xdr:to>
    <xdr:sp macro="" textlink="">
      <xdr:nvSpPr>
        <xdr:cNvPr id="316989" name="Rectangle 28"/>
        <xdr:cNvSpPr>
          <a:spLocks noChangeArrowheads="1"/>
        </xdr:cNvSpPr>
      </xdr:nvSpPr>
      <xdr:spPr bwMode="auto">
        <a:xfrm>
          <a:off x="78181200" y="5629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1571625</xdr:colOff>
      <xdr:row>25</xdr:row>
      <xdr:rowOff>57150</xdr:rowOff>
    </xdr:from>
    <xdr:to>
      <xdr:col>106</xdr:col>
      <xdr:colOff>0</xdr:colOff>
      <xdr:row>26</xdr:row>
      <xdr:rowOff>9525</xdr:rowOff>
    </xdr:to>
    <xdr:sp macro="" textlink="">
      <xdr:nvSpPr>
        <xdr:cNvPr id="316990" name="Rectangle 28"/>
        <xdr:cNvSpPr>
          <a:spLocks noChangeArrowheads="1"/>
        </xdr:cNvSpPr>
      </xdr:nvSpPr>
      <xdr:spPr bwMode="auto">
        <a:xfrm>
          <a:off x="78181200" y="5629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1571625</xdr:colOff>
      <xdr:row>11</xdr:row>
      <xdr:rowOff>38100</xdr:rowOff>
    </xdr:from>
    <xdr:to>
      <xdr:col>106</xdr:col>
      <xdr:colOff>0</xdr:colOff>
      <xdr:row>11</xdr:row>
      <xdr:rowOff>190500</xdr:rowOff>
    </xdr:to>
    <xdr:sp macro="" textlink="">
      <xdr:nvSpPr>
        <xdr:cNvPr id="316991" name="Rectangle 28"/>
        <xdr:cNvSpPr>
          <a:spLocks noChangeArrowheads="1"/>
        </xdr:cNvSpPr>
      </xdr:nvSpPr>
      <xdr:spPr bwMode="auto">
        <a:xfrm>
          <a:off x="78181200" y="28098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1571625</xdr:colOff>
      <xdr:row>11</xdr:row>
      <xdr:rowOff>38100</xdr:rowOff>
    </xdr:from>
    <xdr:to>
      <xdr:col>106</xdr:col>
      <xdr:colOff>0</xdr:colOff>
      <xdr:row>11</xdr:row>
      <xdr:rowOff>190500</xdr:rowOff>
    </xdr:to>
    <xdr:sp macro="" textlink="">
      <xdr:nvSpPr>
        <xdr:cNvPr id="316992" name="Rectangle 28"/>
        <xdr:cNvSpPr>
          <a:spLocks noChangeArrowheads="1"/>
        </xdr:cNvSpPr>
      </xdr:nvSpPr>
      <xdr:spPr bwMode="auto">
        <a:xfrm>
          <a:off x="78181200" y="28098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1571625</xdr:colOff>
      <xdr:row>11</xdr:row>
      <xdr:rowOff>38100</xdr:rowOff>
    </xdr:from>
    <xdr:to>
      <xdr:col>106</xdr:col>
      <xdr:colOff>0</xdr:colOff>
      <xdr:row>11</xdr:row>
      <xdr:rowOff>190500</xdr:rowOff>
    </xdr:to>
    <xdr:sp macro="" textlink="">
      <xdr:nvSpPr>
        <xdr:cNvPr id="316993" name="Rectangle 28"/>
        <xdr:cNvSpPr>
          <a:spLocks noChangeArrowheads="1"/>
        </xdr:cNvSpPr>
      </xdr:nvSpPr>
      <xdr:spPr bwMode="auto">
        <a:xfrm>
          <a:off x="78181200" y="28098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1571625</xdr:colOff>
      <xdr:row>11</xdr:row>
      <xdr:rowOff>38100</xdr:rowOff>
    </xdr:from>
    <xdr:to>
      <xdr:col>106</xdr:col>
      <xdr:colOff>0</xdr:colOff>
      <xdr:row>11</xdr:row>
      <xdr:rowOff>190500</xdr:rowOff>
    </xdr:to>
    <xdr:sp macro="" textlink="">
      <xdr:nvSpPr>
        <xdr:cNvPr id="316994" name="Rectangle 28"/>
        <xdr:cNvSpPr>
          <a:spLocks noChangeArrowheads="1"/>
        </xdr:cNvSpPr>
      </xdr:nvSpPr>
      <xdr:spPr bwMode="auto">
        <a:xfrm>
          <a:off x="78181200" y="28098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1571625</xdr:colOff>
      <xdr:row>11</xdr:row>
      <xdr:rowOff>38100</xdr:rowOff>
    </xdr:from>
    <xdr:to>
      <xdr:col>106</xdr:col>
      <xdr:colOff>0</xdr:colOff>
      <xdr:row>11</xdr:row>
      <xdr:rowOff>190500</xdr:rowOff>
    </xdr:to>
    <xdr:sp macro="" textlink="">
      <xdr:nvSpPr>
        <xdr:cNvPr id="316995" name="Rectangle 28"/>
        <xdr:cNvSpPr>
          <a:spLocks noChangeArrowheads="1"/>
        </xdr:cNvSpPr>
      </xdr:nvSpPr>
      <xdr:spPr bwMode="auto">
        <a:xfrm>
          <a:off x="78181200" y="28098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1571625</xdr:colOff>
      <xdr:row>11</xdr:row>
      <xdr:rowOff>38100</xdr:rowOff>
    </xdr:from>
    <xdr:to>
      <xdr:col>106</xdr:col>
      <xdr:colOff>0</xdr:colOff>
      <xdr:row>11</xdr:row>
      <xdr:rowOff>190500</xdr:rowOff>
    </xdr:to>
    <xdr:sp macro="" textlink="">
      <xdr:nvSpPr>
        <xdr:cNvPr id="316996" name="Rectangle 28"/>
        <xdr:cNvSpPr>
          <a:spLocks noChangeArrowheads="1"/>
        </xdr:cNvSpPr>
      </xdr:nvSpPr>
      <xdr:spPr bwMode="auto">
        <a:xfrm>
          <a:off x="78181200" y="28098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1571625</xdr:colOff>
      <xdr:row>44</xdr:row>
      <xdr:rowOff>28575</xdr:rowOff>
    </xdr:from>
    <xdr:to>
      <xdr:col>106</xdr:col>
      <xdr:colOff>0</xdr:colOff>
      <xdr:row>44</xdr:row>
      <xdr:rowOff>190500</xdr:rowOff>
    </xdr:to>
    <xdr:sp macro="" textlink="">
      <xdr:nvSpPr>
        <xdr:cNvPr id="316997" name="Rectangle 28"/>
        <xdr:cNvSpPr>
          <a:spLocks noChangeArrowheads="1"/>
        </xdr:cNvSpPr>
      </xdr:nvSpPr>
      <xdr:spPr bwMode="auto">
        <a:xfrm>
          <a:off x="78181200" y="94011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1571625</xdr:colOff>
      <xdr:row>44</xdr:row>
      <xdr:rowOff>28575</xdr:rowOff>
    </xdr:from>
    <xdr:to>
      <xdr:col>106</xdr:col>
      <xdr:colOff>0</xdr:colOff>
      <xdr:row>44</xdr:row>
      <xdr:rowOff>190500</xdr:rowOff>
    </xdr:to>
    <xdr:sp macro="" textlink="">
      <xdr:nvSpPr>
        <xdr:cNvPr id="316998" name="Rectangle 28"/>
        <xdr:cNvSpPr>
          <a:spLocks noChangeArrowheads="1"/>
        </xdr:cNvSpPr>
      </xdr:nvSpPr>
      <xdr:spPr bwMode="auto">
        <a:xfrm>
          <a:off x="78181200" y="94011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1571625</xdr:colOff>
      <xdr:row>44</xdr:row>
      <xdr:rowOff>28575</xdr:rowOff>
    </xdr:from>
    <xdr:to>
      <xdr:col>106</xdr:col>
      <xdr:colOff>0</xdr:colOff>
      <xdr:row>44</xdr:row>
      <xdr:rowOff>190500</xdr:rowOff>
    </xdr:to>
    <xdr:sp macro="" textlink="">
      <xdr:nvSpPr>
        <xdr:cNvPr id="316999" name="Rectangle 28"/>
        <xdr:cNvSpPr>
          <a:spLocks noChangeArrowheads="1"/>
        </xdr:cNvSpPr>
      </xdr:nvSpPr>
      <xdr:spPr bwMode="auto">
        <a:xfrm>
          <a:off x="78181200" y="94011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1571625</xdr:colOff>
      <xdr:row>44</xdr:row>
      <xdr:rowOff>28575</xdr:rowOff>
    </xdr:from>
    <xdr:to>
      <xdr:col>106</xdr:col>
      <xdr:colOff>0</xdr:colOff>
      <xdr:row>44</xdr:row>
      <xdr:rowOff>190500</xdr:rowOff>
    </xdr:to>
    <xdr:sp macro="" textlink="">
      <xdr:nvSpPr>
        <xdr:cNvPr id="317000" name="Rectangle 28"/>
        <xdr:cNvSpPr>
          <a:spLocks noChangeArrowheads="1"/>
        </xdr:cNvSpPr>
      </xdr:nvSpPr>
      <xdr:spPr bwMode="auto">
        <a:xfrm>
          <a:off x="78181200" y="94011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1571625</xdr:colOff>
      <xdr:row>44</xdr:row>
      <xdr:rowOff>28575</xdr:rowOff>
    </xdr:from>
    <xdr:to>
      <xdr:col>106</xdr:col>
      <xdr:colOff>0</xdr:colOff>
      <xdr:row>44</xdr:row>
      <xdr:rowOff>190500</xdr:rowOff>
    </xdr:to>
    <xdr:sp macro="" textlink="">
      <xdr:nvSpPr>
        <xdr:cNvPr id="317001" name="Rectangle 28"/>
        <xdr:cNvSpPr>
          <a:spLocks noChangeArrowheads="1"/>
        </xdr:cNvSpPr>
      </xdr:nvSpPr>
      <xdr:spPr bwMode="auto">
        <a:xfrm>
          <a:off x="78181200" y="94011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1571625</xdr:colOff>
      <xdr:row>44</xdr:row>
      <xdr:rowOff>28575</xdr:rowOff>
    </xdr:from>
    <xdr:to>
      <xdr:col>106</xdr:col>
      <xdr:colOff>0</xdr:colOff>
      <xdr:row>44</xdr:row>
      <xdr:rowOff>190500</xdr:rowOff>
    </xdr:to>
    <xdr:sp macro="" textlink="">
      <xdr:nvSpPr>
        <xdr:cNvPr id="317002" name="Rectangle 28"/>
        <xdr:cNvSpPr>
          <a:spLocks noChangeArrowheads="1"/>
        </xdr:cNvSpPr>
      </xdr:nvSpPr>
      <xdr:spPr bwMode="auto">
        <a:xfrm>
          <a:off x="78181200" y="94011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1571625</xdr:colOff>
      <xdr:row>15</xdr:row>
      <xdr:rowOff>28575</xdr:rowOff>
    </xdr:from>
    <xdr:to>
      <xdr:col>106</xdr:col>
      <xdr:colOff>0</xdr:colOff>
      <xdr:row>15</xdr:row>
      <xdr:rowOff>190500</xdr:rowOff>
    </xdr:to>
    <xdr:sp macro="" textlink="">
      <xdr:nvSpPr>
        <xdr:cNvPr id="317003" name="Rectangle 28"/>
        <xdr:cNvSpPr>
          <a:spLocks noChangeArrowheads="1"/>
        </xdr:cNvSpPr>
      </xdr:nvSpPr>
      <xdr:spPr bwMode="auto">
        <a:xfrm>
          <a:off x="78181200" y="360045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1571625</xdr:colOff>
      <xdr:row>15</xdr:row>
      <xdr:rowOff>28575</xdr:rowOff>
    </xdr:from>
    <xdr:to>
      <xdr:col>106</xdr:col>
      <xdr:colOff>0</xdr:colOff>
      <xdr:row>15</xdr:row>
      <xdr:rowOff>190500</xdr:rowOff>
    </xdr:to>
    <xdr:sp macro="" textlink="">
      <xdr:nvSpPr>
        <xdr:cNvPr id="317004" name="Rectangle 28"/>
        <xdr:cNvSpPr>
          <a:spLocks noChangeArrowheads="1"/>
        </xdr:cNvSpPr>
      </xdr:nvSpPr>
      <xdr:spPr bwMode="auto">
        <a:xfrm>
          <a:off x="78181200" y="360045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1571625</xdr:colOff>
      <xdr:row>15</xdr:row>
      <xdr:rowOff>28575</xdr:rowOff>
    </xdr:from>
    <xdr:to>
      <xdr:col>106</xdr:col>
      <xdr:colOff>0</xdr:colOff>
      <xdr:row>15</xdr:row>
      <xdr:rowOff>190500</xdr:rowOff>
    </xdr:to>
    <xdr:sp macro="" textlink="">
      <xdr:nvSpPr>
        <xdr:cNvPr id="317005" name="Rectangle 28"/>
        <xdr:cNvSpPr>
          <a:spLocks noChangeArrowheads="1"/>
        </xdr:cNvSpPr>
      </xdr:nvSpPr>
      <xdr:spPr bwMode="auto">
        <a:xfrm>
          <a:off x="78181200" y="360045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1571625</xdr:colOff>
      <xdr:row>15</xdr:row>
      <xdr:rowOff>28575</xdr:rowOff>
    </xdr:from>
    <xdr:to>
      <xdr:col>106</xdr:col>
      <xdr:colOff>0</xdr:colOff>
      <xdr:row>15</xdr:row>
      <xdr:rowOff>190500</xdr:rowOff>
    </xdr:to>
    <xdr:sp macro="" textlink="">
      <xdr:nvSpPr>
        <xdr:cNvPr id="317006" name="Rectangle 28"/>
        <xdr:cNvSpPr>
          <a:spLocks noChangeArrowheads="1"/>
        </xdr:cNvSpPr>
      </xdr:nvSpPr>
      <xdr:spPr bwMode="auto">
        <a:xfrm>
          <a:off x="78181200" y="360045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1571625</xdr:colOff>
      <xdr:row>15</xdr:row>
      <xdr:rowOff>28575</xdr:rowOff>
    </xdr:from>
    <xdr:to>
      <xdr:col>106</xdr:col>
      <xdr:colOff>0</xdr:colOff>
      <xdr:row>15</xdr:row>
      <xdr:rowOff>190500</xdr:rowOff>
    </xdr:to>
    <xdr:sp macro="" textlink="">
      <xdr:nvSpPr>
        <xdr:cNvPr id="317007" name="Rectangle 28"/>
        <xdr:cNvSpPr>
          <a:spLocks noChangeArrowheads="1"/>
        </xdr:cNvSpPr>
      </xdr:nvSpPr>
      <xdr:spPr bwMode="auto">
        <a:xfrm>
          <a:off x="78181200" y="360045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1571625</xdr:colOff>
      <xdr:row>15</xdr:row>
      <xdr:rowOff>28575</xdr:rowOff>
    </xdr:from>
    <xdr:to>
      <xdr:col>106</xdr:col>
      <xdr:colOff>0</xdr:colOff>
      <xdr:row>15</xdr:row>
      <xdr:rowOff>190500</xdr:rowOff>
    </xdr:to>
    <xdr:sp macro="" textlink="">
      <xdr:nvSpPr>
        <xdr:cNvPr id="317008" name="Rectangle 28"/>
        <xdr:cNvSpPr>
          <a:spLocks noChangeArrowheads="1"/>
        </xdr:cNvSpPr>
      </xdr:nvSpPr>
      <xdr:spPr bwMode="auto">
        <a:xfrm>
          <a:off x="78181200" y="360045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1571625</xdr:colOff>
      <xdr:row>12</xdr:row>
      <xdr:rowOff>9525</xdr:rowOff>
    </xdr:from>
    <xdr:to>
      <xdr:col>106</xdr:col>
      <xdr:colOff>0</xdr:colOff>
      <xdr:row>12</xdr:row>
      <xdr:rowOff>171450</xdr:rowOff>
    </xdr:to>
    <xdr:sp macro="" textlink="">
      <xdr:nvSpPr>
        <xdr:cNvPr id="317009" name="Rectangle 28"/>
        <xdr:cNvSpPr>
          <a:spLocks noChangeArrowheads="1"/>
        </xdr:cNvSpPr>
      </xdr:nvSpPr>
      <xdr:spPr bwMode="auto">
        <a:xfrm>
          <a:off x="78181200" y="29813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1571625</xdr:colOff>
      <xdr:row>12</xdr:row>
      <xdr:rowOff>9525</xdr:rowOff>
    </xdr:from>
    <xdr:to>
      <xdr:col>106</xdr:col>
      <xdr:colOff>0</xdr:colOff>
      <xdr:row>12</xdr:row>
      <xdr:rowOff>171450</xdr:rowOff>
    </xdr:to>
    <xdr:sp macro="" textlink="">
      <xdr:nvSpPr>
        <xdr:cNvPr id="317010" name="Rectangle 28"/>
        <xdr:cNvSpPr>
          <a:spLocks noChangeArrowheads="1"/>
        </xdr:cNvSpPr>
      </xdr:nvSpPr>
      <xdr:spPr bwMode="auto">
        <a:xfrm>
          <a:off x="78181200" y="29813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1571625</xdr:colOff>
      <xdr:row>12</xdr:row>
      <xdr:rowOff>9525</xdr:rowOff>
    </xdr:from>
    <xdr:to>
      <xdr:col>106</xdr:col>
      <xdr:colOff>0</xdr:colOff>
      <xdr:row>12</xdr:row>
      <xdr:rowOff>171450</xdr:rowOff>
    </xdr:to>
    <xdr:sp macro="" textlink="">
      <xdr:nvSpPr>
        <xdr:cNvPr id="317011" name="Rectangle 28"/>
        <xdr:cNvSpPr>
          <a:spLocks noChangeArrowheads="1"/>
        </xdr:cNvSpPr>
      </xdr:nvSpPr>
      <xdr:spPr bwMode="auto">
        <a:xfrm>
          <a:off x="78181200" y="29813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1571625</xdr:colOff>
      <xdr:row>12</xdr:row>
      <xdr:rowOff>9525</xdr:rowOff>
    </xdr:from>
    <xdr:to>
      <xdr:col>106</xdr:col>
      <xdr:colOff>0</xdr:colOff>
      <xdr:row>12</xdr:row>
      <xdr:rowOff>171450</xdr:rowOff>
    </xdr:to>
    <xdr:sp macro="" textlink="">
      <xdr:nvSpPr>
        <xdr:cNvPr id="317012" name="Rectangle 28"/>
        <xdr:cNvSpPr>
          <a:spLocks noChangeArrowheads="1"/>
        </xdr:cNvSpPr>
      </xdr:nvSpPr>
      <xdr:spPr bwMode="auto">
        <a:xfrm>
          <a:off x="78181200" y="29813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1571625</xdr:colOff>
      <xdr:row>12</xdr:row>
      <xdr:rowOff>9525</xdr:rowOff>
    </xdr:from>
    <xdr:to>
      <xdr:col>106</xdr:col>
      <xdr:colOff>0</xdr:colOff>
      <xdr:row>12</xdr:row>
      <xdr:rowOff>171450</xdr:rowOff>
    </xdr:to>
    <xdr:sp macro="" textlink="">
      <xdr:nvSpPr>
        <xdr:cNvPr id="317013" name="Rectangle 28"/>
        <xdr:cNvSpPr>
          <a:spLocks noChangeArrowheads="1"/>
        </xdr:cNvSpPr>
      </xdr:nvSpPr>
      <xdr:spPr bwMode="auto">
        <a:xfrm>
          <a:off x="78181200" y="29813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1571625</xdr:colOff>
      <xdr:row>12</xdr:row>
      <xdr:rowOff>9525</xdr:rowOff>
    </xdr:from>
    <xdr:to>
      <xdr:col>106</xdr:col>
      <xdr:colOff>0</xdr:colOff>
      <xdr:row>12</xdr:row>
      <xdr:rowOff>171450</xdr:rowOff>
    </xdr:to>
    <xdr:sp macro="" textlink="">
      <xdr:nvSpPr>
        <xdr:cNvPr id="317014" name="Rectangle 28"/>
        <xdr:cNvSpPr>
          <a:spLocks noChangeArrowheads="1"/>
        </xdr:cNvSpPr>
      </xdr:nvSpPr>
      <xdr:spPr bwMode="auto">
        <a:xfrm>
          <a:off x="78181200" y="29813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1571625</xdr:colOff>
      <xdr:row>7</xdr:row>
      <xdr:rowOff>0</xdr:rowOff>
    </xdr:from>
    <xdr:to>
      <xdr:col>106</xdr:col>
      <xdr:colOff>0</xdr:colOff>
      <xdr:row>7</xdr:row>
      <xdr:rowOff>142875</xdr:rowOff>
    </xdr:to>
    <xdr:sp macro="" textlink="">
      <xdr:nvSpPr>
        <xdr:cNvPr id="317015" name="Rectangle 28"/>
        <xdr:cNvSpPr>
          <a:spLocks noChangeArrowheads="1"/>
        </xdr:cNvSpPr>
      </xdr:nvSpPr>
      <xdr:spPr bwMode="auto">
        <a:xfrm>
          <a:off x="78181200" y="1971675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1571625</xdr:colOff>
      <xdr:row>7</xdr:row>
      <xdr:rowOff>0</xdr:rowOff>
    </xdr:from>
    <xdr:to>
      <xdr:col>106</xdr:col>
      <xdr:colOff>0</xdr:colOff>
      <xdr:row>7</xdr:row>
      <xdr:rowOff>142875</xdr:rowOff>
    </xdr:to>
    <xdr:sp macro="" textlink="">
      <xdr:nvSpPr>
        <xdr:cNvPr id="317016" name="Rectangle 28"/>
        <xdr:cNvSpPr>
          <a:spLocks noChangeArrowheads="1"/>
        </xdr:cNvSpPr>
      </xdr:nvSpPr>
      <xdr:spPr bwMode="auto">
        <a:xfrm>
          <a:off x="78181200" y="1971675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1571625</xdr:colOff>
      <xdr:row>7</xdr:row>
      <xdr:rowOff>0</xdr:rowOff>
    </xdr:from>
    <xdr:to>
      <xdr:col>106</xdr:col>
      <xdr:colOff>0</xdr:colOff>
      <xdr:row>7</xdr:row>
      <xdr:rowOff>142875</xdr:rowOff>
    </xdr:to>
    <xdr:sp macro="" textlink="">
      <xdr:nvSpPr>
        <xdr:cNvPr id="317017" name="Rectangle 28"/>
        <xdr:cNvSpPr>
          <a:spLocks noChangeArrowheads="1"/>
        </xdr:cNvSpPr>
      </xdr:nvSpPr>
      <xdr:spPr bwMode="auto">
        <a:xfrm>
          <a:off x="78181200" y="1971675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1571625</xdr:colOff>
      <xdr:row>7</xdr:row>
      <xdr:rowOff>0</xdr:rowOff>
    </xdr:from>
    <xdr:to>
      <xdr:col>106</xdr:col>
      <xdr:colOff>0</xdr:colOff>
      <xdr:row>7</xdr:row>
      <xdr:rowOff>142875</xdr:rowOff>
    </xdr:to>
    <xdr:sp macro="" textlink="">
      <xdr:nvSpPr>
        <xdr:cNvPr id="317018" name="Rectangle 28"/>
        <xdr:cNvSpPr>
          <a:spLocks noChangeArrowheads="1"/>
        </xdr:cNvSpPr>
      </xdr:nvSpPr>
      <xdr:spPr bwMode="auto">
        <a:xfrm>
          <a:off x="78181200" y="1971675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1571625</xdr:colOff>
      <xdr:row>7</xdr:row>
      <xdr:rowOff>0</xdr:rowOff>
    </xdr:from>
    <xdr:to>
      <xdr:col>106</xdr:col>
      <xdr:colOff>0</xdr:colOff>
      <xdr:row>7</xdr:row>
      <xdr:rowOff>142875</xdr:rowOff>
    </xdr:to>
    <xdr:sp macro="" textlink="">
      <xdr:nvSpPr>
        <xdr:cNvPr id="317019" name="Rectangle 28"/>
        <xdr:cNvSpPr>
          <a:spLocks noChangeArrowheads="1"/>
        </xdr:cNvSpPr>
      </xdr:nvSpPr>
      <xdr:spPr bwMode="auto">
        <a:xfrm>
          <a:off x="78181200" y="1971675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1571625</xdr:colOff>
      <xdr:row>7</xdr:row>
      <xdr:rowOff>0</xdr:rowOff>
    </xdr:from>
    <xdr:to>
      <xdr:col>106</xdr:col>
      <xdr:colOff>0</xdr:colOff>
      <xdr:row>7</xdr:row>
      <xdr:rowOff>142875</xdr:rowOff>
    </xdr:to>
    <xdr:sp macro="" textlink="">
      <xdr:nvSpPr>
        <xdr:cNvPr id="317020" name="Rectangle 28"/>
        <xdr:cNvSpPr>
          <a:spLocks noChangeArrowheads="1"/>
        </xdr:cNvSpPr>
      </xdr:nvSpPr>
      <xdr:spPr bwMode="auto">
        <a:xfrm>
          <a:off x="78181200" y="1971675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1571625</xdr:colOff>
      <xdr:row>30</xdr:row>
      <xdr:rowOff>190500</xdr:rowOff>
    </xdr:from>
    <xdr:to>
      <xdr:col>106</xdr:col>
      <xdr:colOff>0</xdr:colOff>
      <xdr:row>31</xdr:row>
      <xdr:rowOff>142875</xdr:rowOff>
    </xdr:to>
    <xdr:sp macro="" textlink="">
      <xdr:nvSpPr>
        <xdr:cNvPr id="317021" name="Rectangle 28"/>
        <xdr:cNvSpPr>
          <a:spLocks noChangeArrowheads="1"/>
        </xdr:cNvSpPr>
      </xdr:nvSpPr>
      <xdr:spPr bwMode="auto">
        <a:xfrm>
          <a:off x="78181200" y="67627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1571625</xdr:colOff>
      <xdr:row>30</xdr:row>
      <xdr:rowOff>190500</xdr:rowOff>
    </xdr:from>
    <xdr:to>
      <xdr:col>106</xdr:col>
      <xdr:colOff>0</xdr:colOff>
      <xdr:row>31</xdr:row>
      <xdr:rowOff>142875</xdr:rowOff>
    </xdr:to>
    <xdr:sp macro="" textlink="">
      <xdr:nvSpPr>
        <xdr:cNvPr id="317022" name="Rectangle 28"/>
        <xdr:cNvSpPr>
          <a:spLocks noChangeArrowheads="1"/>
        </xdr:cNvSpPr>
      </xdr:nvSpPr>
      <xdr:spPr bwMode="auto">
        <a:xfrm>
          <a:off x="78181200" y="67627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1571625</xdr:colOff>
      <xdr:row>30</xdr:row>
      <xdr:rowOff>190500</xdr:rowOff>
    </xdr:from>
    <xdr:to>
      <xdr:col>106</xdr:col>
      <xdr:colOff>0</xdr:colOff>
      <xdr:row>31</xdr:row>
      <xdr:rowOff>142875</xdr:rowOff>
    </xdr:to>
    <xdr:sp macro="" textlink="">
      <xdr:nvSpPr>
        <xdr:cNvPr id="317023" name="Rectangle 28"/>
        <xdr:cNvSpPr>
          <a:spLocks noChangeArrowheads="1"/>
        </xdr:cNvSpPr>
      </xdr:nvSpPr>
      <xdr:spPr bwMode="auto">
        <a:xfrm>
          <a:off x="78181200" y="67627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1571625</xdr:colOff>
      <xdr:row>30</xdr:row>
      <xdr:rowOff>190500</xdr:rowOff>
    </xdr:from>
    <xdr:to>
      <xdr:col>106</xdr:col>
      <xdr:colOff>0</xdr:colOff>
      <xdr:row>31</xdr:row>
      <xdr:rowOff>142875</xdr:rowOff>
    </xdr:to>
    <xdr:sp macro="" textlink="">
      <xdr:nvSpPr>
        <xdr:cNvPr id="317024" name="Rectangle 28"/>
        <xdr:cNvSpPr>
          <a:spLocks noChangeArrowheads="1"/>
        </xdr:cNvSpPr>
      </xdr:nvSpPr>
      <xdr:spPr bwMode="auto">
        <a:xfrm>
          <a:off x="78181200" y="67627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1571625</xdr:colOff>
      <xdr:row>30</xdr:row>
      <xdr:rowOff>190500</xdr:rowOff>
    </xdr:from>
    <xdr:to>
      <xdr:col>106</xdr:col>
      <xdr:colOff>0</xdr:colOff>
      <xdr:row>31</xdr:row>
      <xdr:rowOff>142875</xdr:rowOff>
    </xdr:to>
    <xdr:sp macro="" textlink="">
      <xdr:nvSpPr>
        <xdr:cNvPr id="317025" name="Rectangle 28"/>
        <xdr:cNvSpPr>
          <a:spLocks noChangeArrowheads="1"/>
        </xdr:cNvSpPr>
      </xdr:nvSpPr>
      <xdr:spPr bwMode="auto">
        <a:xfrm>
          <a:off x="78181200" y="67627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1571625</xdr:colOff>
      <xdr:row>30</xdr:row>
      <xdr:rowOff>190500</xdr:rowOff>
    </xdr:from>
    <xdr:to>
      <xdr:col>106</xdr:col>
      <xdr:colOff>0</xdr:colOff>
      <xdr:row>31</xdr:row>
      <xdr:rowOff>142875</xdr:rowOff>
    </xdr:to>
    <xdr:sp macro="" textlink="">
      <xdr:nvSpPr>
        <xdr:cNvPr id="317026" name="Rectangle 28"/>
        <xdr:cNvSpPr>
          <a:spLocks noChangeArrowheads="1"/>
        </xdr:cNvSpPr>
      </xdr:nvSpPr>
      <xdr:spPr bwMode="auto">
        <a:xfrm>
          <a:off x="78181200" y="67627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1571625</xdr:colOff>
      <xdr:row>31</xdr:row>
      <xdr:rowOff>190500</xdr:rowOff>
    </xdr:from>
    <xdr:to>
      <xdr:col>106</xdr:col>
      <xdr:colOff>0</xdr:colOff>
      <xdr:row>32</xdr:row>
      <xdr:rowOff>142875</xdr:rowOff>
    </xdr:to>
    <xdr:sp macro="" textlink="">
      <xdr:nvSpPr>
        <xdr:cNvPr id="317027" name="Rectangle 28"/>
        <xdr:cNvSpPr>
          <a:spLocks noChangeArrowheads="1"/>
        </xdr:cNvSpPr>
      </xdr:nvSpPr>
      <xdr:spPr bwMode="auto">
        <a:xfrm>
          <a:off x="78181200" y="69627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1571625</xdr:colOff>
      <xdr:row>31</xdr:row>
      <xdr:rowOff>190500</xdr:rowOff>
    </xdr:from>
    <xdr:to>
      <xdr:col>106</xdr:col>
      <xdr:colOff>0</xdr:colOff>
      <xdr:row>32</xdr:row>
      <xdr:rowOff>142875</xdr:rowOff>
    </xdr:to>
    <xdr:sp macro="" textlink="">
      <xdr:nvSpPr>
        <xdr:cNvPr id="317028" name="Rectangle 28"/>
        <xdr:cNvSpPr>
          <a:spLocks noChangeArrowheads="1"/>
        </xdr:cNvSpPr>
      </xdr:nvSpPr>
      <xdr:spPr bwMode="auto">
        <a:xfrm>
          <a:off x="78181200" y="69627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1571625</xdr:colOff>
      <xdr:row>31</xdr:row>
      <xdr:rowOff>190500</xdr:rowOff>
    </xdr:from>
    <xdr:to>
      <xdr:col>106</xdr:col>
      <xdr:colOff>0</xdr:colOff>
      <xdr:row>32</xdr:row>
      <xdr:rowOff>142875</xdr:rowOff>
    </xdr:to>
    <xdr:sp macro="" textlink="">
      <xdr:nvSpPr>
        <xdr:cNvPr id="317029" name="Rectangle 28"/>
        <xdr:cNvSpPr>
          <a:spLocks noChangeArrowheads="1"/>
        </xdr:cNvSpPr>
      </xdr:nvSpPr>
      <xdr:spPr bwMode="auto">
        <a:xfrm>
          <a:off x="78181200" y="69627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1571625</xdr:colOff>
      <xdr:row>31</xdr:row>
      <xdr:rowOff>190500</xdr:rowOff>
    </xdr:from>
    <xdr:to>
      <xdr:col>106</xdr:col>
      <xdr:colOff>0</xdr:colOff>
      <xdr:row>32</xdr:row>
      <xdr:rowOff>142875</xdr:rowOff>
    </xdr:to>
    <xdr:sp macro="" textlink="">
      <xdr:nvSpPr>
        <xdr:cNvPr id="317030" name="Rectangle 28"/>
        <xdr:cNvSpPr>
          <a:spLocks noChangeArrowheads="1"/>
        </xdr:cNvSpPr>
      </xdr:nvSpPr>
      <xdr:spPr bwMode="auto">
        <a:xfrm>
          <a:off x="78181200" y="69627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1571625</xdr:colOff>
      <xdr:row>31</xdr:row>
      <xdr:rowOff>190500</xdr:rowOff>
    </xdr:from>
    <xdr:to>
      <xdr:col>106</xdr:col>
      <xdr:colOff>0</xdr:colOff>
      <xdr:row>32</xdr:row>
      <xdr:rowOff>142875</xdr:rowOff>
    </xdr:to>
    <xdr:sp macro="" textlink="">
      <xdr:nvSpPr>
        <xdr:cNvPr id="317031" name="Rectangle 28"/>
        <xdr:cNvSpPr>
          <a:spLocks noChangeArrowheads="1"/>
        </xdr:cNvSpPr>
      </xdr:nvSpPr>
      <xdr:spPr bwMode="auto">
        <a:xfrm>
          <a:off x="78181200" y="69627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1571625</xdr:colOff>
      <xdr:row>31</xdr:row>
      <xdr:rowOff>190500</xdr:rowOff>
    </xdr:from>
    <xdr:to>
      <xdr:col>106</xdr:col>
      <xdr:colOff>0</xdr:colOff>
      <xdr:row>32</xdr:row>
      <xdr:rowOff>142875</xdr:rowOff>
    </xdr:to>
    <xdr:sp macro="" textlink="">
      <xdr:nvSpPr>
        <xdr:cNvPr id="317032" name="Rectangle 28"/>
        <xdr:cNvSpPr>
          <a:spLocks noChangeArrowheads="1"/>
        </xdr:cNvSpPr>
      </xdr:nvSpPr>
      <xdr:spPr bwMode="auto">
        <a:xfrm>
          <a:off x="78181200" y="69627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1571625</xdr:colOff>
      <xdr:row>32</xdr:row>
      <xdr:rowOff>190500</xdr:rowOff>
    </xdr:from>
    <xdr:to>
      <xdr:col>106</xdr:col>
      <xdr:colOff>0</xdr:colOff>
      <xdr:row>33</xdr:row>
      <xdr:rowOff>133350</xdr:rowOff>
    </xdr:to>
    <xdr:sp macro="" textlink="">
      <xdr:nvSpPr>
        <xdr:cNvPr id="317033" name="Rectangle 28"/>
        <xdr:cNvSpPr>
          <a:spLocks noChangeArrowheads="1"/>
        </xdr:cNvSpPr>
      </xdr:nvSpPr>
      <xdr:spPr bwMode="auto">
        <a:xfrm>
          <a:off x="78181200" y="71628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1571625</xdr:colOff>
      <xdr:row>32</xdr:row>
      <xdr:rowOff>190500</xdr:rowOff>
    </xdr:from>
    <xdr:to>
      <xdr:col>106</xdr:col>
      <xdr:colOff>0</xdr:colOff>
      <xdr:row>33</xdr:row>
      <xdr:rowOff>133350</xdr:rowOff>
    </xdr:to>
    <xdr:sp macro="" textlink="">
      <xdr:nvSpPr>
        <xdr:cNvPr id="317034" name="Rectangle 28"/>
        <xdr:cNvSpPr>
          <a:spLocks noChangeArrowheads="1"/>
        </xdr:cNvSpPr>
      </xdr:nvSpPr>
      <xdr:spPr bwMode="auto">
        <a:xfrm>
          <a:off x="78181200" y="71628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1571625</xdr:colOff>
      <xdr:row>32</xdr:row>
      <xdr:rowOff>190500</xdr:rowOff>
    </xdr:from>
    <xdr:to>
      <xdr:col>106</xdr:col>
      <xdr:colOff>0</xdr:colOff>
      <xdr:row>33</xdr:row>
      <xdr:rowOff>133350</xdr:rowOff>
    </xdr:to>
    <xdr:sp macro="" textlink="">
      <xdr:nvSpPr>
        <xdr:cNvPr id="317035" name="Rectangle 28"/>
        <xdr:cNvSpPr>
          <a:spLocks noChangeArrowheads="1"/>
        </xdr:cNvSpPr>
      </xdr:nvSpPr>
      <xdr:spPr bwMode="auto">
        <a:xfrm>
          <a:off x="78181200" y="71628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1571625</xdr:colOff>
      <xdr:row>32</xdr:row>
      <xdr:rowOff>190500</xdr:rowOff>
    </xdr:from>
    <xdr:to>
      <xdr:col>106</xdr:col>
      <xdr:colOff>0</xdr:colOff>
      <xdr:row>33</xdr:row>
      <xdr:rowOff>133350</xdr:rowOff>
    </xdr:to>
    <xdr:sp macro="" textlink="">
      <xdr:nvSpPr>
        <xdr:cNvPr id="317036" name="Rectangle 28"/>
        <xdr:cNvSpPr>
          <a:spLocks noChangeArrowheads="1"/>
        </xdr:cNvSpPr>
      </xdr:nvSpPr>
      <xdr:spPr bwMode="auto">
        <a:xfrm>
          <a:off x="78181200" y="71628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1571625</xdr:colOff>
      <xdr:row>32</xdr:row>
      <xdr:rowOff>190500</xdr:rowOff>
    </xdr:from>
    <xdr:to>
      <xdr:col>106</xdr:col>
      <xdr:colOff>0</xdr:colOff>
      <xdr:row>33</xdr:row>
      <xdr:rowOff>133350</xdr:rowOff>
    </xdr:to>
    <xdr:sp macro="" textlink="">
      <xdr:nvSpPr>
        <xdr:cNvPr id="317037" name="Rectangle 28"/>
        <xdr:cNvSpPr>
          <a:spLocks noChangeArrowheads="1"/>
        </xdr:cNvSpPr>
      </xdr:nvSpPr>
      <xdr:spPr bwMode="auto">
        <a:xfrm>
          <a:off x="78181200" y="71628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1571625</xdr:colOff>
      <xdr:row>32</xdr:row>
      <xdr:rowOff>190500</xdr:rowOff>
    </xdr:from>
    <xdr:to>
      <xdr:col>106</xdr:col>
      <xdr:colOff>0</xdr:colOff>
      <xdr:row>33</xdr:row>
      <xdr:rowOff>133350</xdr:rowOff>
    </xdr:to>
    <xdr:sp macro="" textlink="">
      <xdr:nvSpPr>
        <xdr:cNvPr id="317038" name="Rectangle 28"/>
        <xdr:cNvSpPr>
          <a:spLocks noChangeArrowheads="1"/>
        </xdr:cNvSpPr>
      </xdr:nvSpPr>
      <xdr:spPr bwMode="auto">
        <a:xfrm>
          <a:off x="78181200" y="71628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1571625</xdr:colOff>
      <xdr:row>33</xdr:row>
      <xdr:rowOff>161925</xdr:rowOff>
    </xdr:from>
    <xdr:to>
      <xdr:col>106</xdr:col>
      <xdr:colOff>0</xdr:colOff>
      <xdr:row>34</xdr:row>
      <xdr:rowOff>123825</xdr:rowOff>
    </xdr:to>
    <xdr:sp macro="" textlink="">
      <xdr:nvSpPr>
        <xdr:cNvPr id="317039" name="Rectangle 28"/>
        <xdr:cNvSpPr>
          <a:spLocks noChangeArrowheads="1"/>
        </xdr:cNvSpPr>
      </xdr:nvSpPr>
      <xdr:spPr bwMode="auto">
        <a:xfrm>
          <a:off x="78181200" y="733425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1571625</xdr:colOff>
      <xdr:row>33</xdr:row>
      <xdr:rowOff>161925</xdr:rowOff>
    </xdr:from>
    <xdr:to>
      <xdr:col>106</xdr:col>
      <xdr:colOff>0</xdr:colOff>
      <xdr:row>34</xdr:row>
      <xdr:rowOff>123825</xdr:rowOff>
    </xdr:to>
    <xdr:sp macro="" textlink="">
      <xdr:nvSpPr>
        <xdr:cNvPr id="317040" name="Rectangle 28"/>
        <xdr:cNvSpPr>
          <a:spLocks noChangeArrowheads="1"/>
        </xdr:cNvSpPr>
      </xdr:nvSpPr>
      <xdr:spPr bwMode="auto">
        <a:xfrm>
          <a:off x="78181200" y="733425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1571625</xdr:colOff>
      <xdr:row>33</xdr:row>
      <xdr:rowOff>161925</xdr:rowOff>
    </xdr:from>
    <xdr:to>
      <xdr:col>106</xdr:col>
      <xdr:colOff>0</xdr:colOff>
      <xdr:row>34</xdr:row>
      <xdr:rowOff>123825</xdr:rowOff>
    </xdr:to>
    <xdr:sp macro="" textlink="">
      <xdr:nvSpPr>
        <xdr:cNvPr id="317041" name="Rectangle 28"/>
        <xdr:cNvSpPr>
          <a:spLocks noChangeArrowheads="1"/>
        </xdr:cNvSpPr>
      </xdr:nvSpPr>
      <xdr:spPr bwMode="auto">
        <a:xfrm>
          <a:off x="78181200" y="733425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1571625</xdr:colOff>
      <xdr:row>33</xdr:row>
      <xdr:rowOff>161925</xdr:rowOff>
    </xdr:from>
    <xdr:to>
      <xdr:col>106</xdr:col>
      <xdr:colOff>0</xdr:colOff>
      <xdr:row>34</xdr:row>
      <xdr:rowOff>123825</xdr:rowOff>
    </xdr:to>
    <xdr:sp macro="" textlink="">
      <xdr:nvSpPr>
        <xdr:cNvPr id="317042" name="Rectangle 28"/>
        <xdr:cNvSpPr>
          <a:spLocks noChangeArrowheads="1"/>
        </xdr:cNvSpPr>
      </xdr:nvSpPr>
      <xdr:spPr bwMode="auto">
        <a:xfrm>
          <a:off x="78181200" y="733425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1571625</xdr:colOff>
      <xdr:row>33</xdr:row>
      <xdr:rowOff>161925</xdr:rowOff>
    </xdr:from>
    <xdr:to>
      <xdr:col>106</xdr:col>
      <xdr:colOff>0</xdr:colOff>
      <xdr:row>34</xdr:row>
      <xdr:rowOff>123825</xdr:rowOff>
    </xdr:to>
    <xdr:sp macro="" textlink="">
      <xdr:nvSpPr>
        <xdr:cNvPr id="317043" name="Rectangle 28"/>
        <xdr:cNvSpPr>
          <a:spLocks noChangeArrowheads="1"/>
        </xdr:cNvSpPr>
      </xdr:nvSpPr>
      <xdr:spPr bwMode="auto">
        <a:xfrm>
          <a:off x="78181200" y="733425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1571625</xdr:colOff>
      <xdr:row>33</xdr:row>
      <xdr:rowOff>161925</xdr:rowOff>
    </xdr:from>
    <xdr:to>
      <xdr:col>106</xdr:col>
      <xdr:colOff>0</xdr:colOff>
      <xdr:row>34</xdr:row>
      <xdr:rowOff>123825</xdr:rowOff>
    </xdr:to>
    <xdr:sp macro="" textlink="">
      <xdr:nvSpPr>
        <xdr:cNvPr id="317044" name="Rectangle 28"/>
        <xdr:cNvSpPr>
          <a:spLocks noChangeArrowheads="1"/>
        </xdr:cNvSpPr>
      </xdr:nvSpPr>
      <xdr:spPr bwMode="auto">
        <a:xfrm>
          <a:off x="78181200" y="733425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1571625</xdr:colOff>
      <xdr:row>34</xdr:row>
      <xdr:rowOff>142875</xdr:rowOff>
    </xdr:from>
    <xdr:to>
      <xdr:col>106</xdr:col>
      <xdr:colOff>0</xdr:colOff>
      <xdr:row>35</xdr:row>
      <xdr:rowOff>104775</xdr:rowOff>
    </xdr:to>
    <xdr:sp macro="" textlink="">
      <xdr:nvSpPr>
        <xdr:cNvPr id="317045" name="Rectangle 28"/>
        <xdr:cNvSpPr>
          <a:spLocks noChangeArrowheads="1"/>
        </xdr:cNvSpPr>
      </xdr:nvSpPr>
      <xdr:spPr bwMode="auto">
        <a:xfrm>
          <a:off x="78181200" y="75152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1571625</xdr:colOff>
      <xdr:row>34</xdr:row>
      <xdr:rowOff>142875</xdr:rowOff>
    </xdr:from>
    <xdr:to>
      <xdr:col>106</xdr:col>
      <xdr:colOff>0</xdr:colOff>
      <xdr:row>35</xdr:row>
      <xdr:rowOff>104775</xdr:rowOff>
    </xdr:to>
    <xdr:sp macro="" textlink="">
      <xdr:nvSpPr>
        <xdr:cNvPr id="317046" name="Rectangle 28"/>
        <xdr:cNvSpPr>
          <a:spLocks noChangeArrowheads="1"/>
        </xdr:cNvSpPr>
      </xdr:nvSpPr>
      <xdr:spPr bwMode="auto">
        <a:xfrm>
          <a:off x="78181200" y="75152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1571625</xdr:colOff>
      <xdr:row>34</xdr:row>
      <xdr:rowOff>142875</xdr:rowOff>
    </xdr:from>
    <xdr:to>
      <xdr:col>106</xdr:col>
      <xdr:colOff>0</xdr:colOff>
      <xdr:row>35</xdr:row>
      <xdr:rowOff>104775</xdr:rowOff>
    </xdr:to>
    <xdr:sp macro="" textlink="">
      <xdr:nvSpPr>
        <xdr:cNvPr id="317047" name="Rectangle 28"/>
        <xdr:cNvSpPr>
          <a:spLocks noChangeArrowheads="1"/>
        </xdr:cNvSpPr>
      </xdr:nvSpPr>
      <xdr:spPr bwMode="auto">
        <a:xfrm>
          <a:off x="78181200" y="75152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1571625</xdr:colOff>
      <xdr:row>34</xdr:row>
      <xdr:rowOff>142875</xdr:rowOff>
    </xdr:from>
    <xdr:to>
      <xdr:col>106</xdr:col>
      <xdr:colOff>0</xdr:colOff>
      <xdr:row>35</xdr:row>
      <xdr:rowOff>104775</xdr:rowOff>
    </xdr:to>
    <xdr:sp macro="" textlink="">
      <xdr:nvSpPr>
        <xdr:cNvPr id="317048" name="Rectangle 28"/>
        <xdr:cNvSpPr>
          <a:spLocks noChangeArrowheads="1"/>
        </xdr:cNvSpPr>
      </xdr:nvSpPr>
      <xdr:spPr bwMode="auto">
        <a:xfrm>
          <a:off x="78181200" y="75152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1571625</xdr:colOff>
      <xdr:row>34</xdr:row>
      <xdr:rowOff>142875</xdr:rowOff>
    </xdr:from>
    <xdr:to>
      <xdr:col>106</xdr:col>
      <xdr:colOff>0</xdr:colOff>
      <xdr:row>35</xdr:row>
      <xdr:rowOff>104775</xdr:rowOff>
    </xdr:to>
    <xdr:sp macro="" textlink="">
      <xdr:nvSpPr>
        <xdr:cNvPr id="317049" name="Rectangle 28"/>
        <xdr:cNvSpPr>
          <a:spLocks noChangeArrowheads="1"/>
        </xdr:cNvSpPr>
      </xdr:nvSpPr>
      <xdr:spPr bwMode="auto">
        <a:xfrm>
          <a:off x="78181200" y="75152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1571625</xdr:colOff>
      <xdr:row>34</xdr:row>
      <xdr:rowOff>142875</xdr:rowOff>
    </xdr:from>
    <xdr:to>
      <xdr:col>106</xdr:col>
      <xdr:colOff>0</xdr:colOff>
      <xdr:row>35</xdr:row>
      <xdr:rowOff>104775</xdr:rowOff>
    </xdr:to>
    <xdr:sp macro="" textlink="">
      <xdr:nvSpPr>
        <xdr:cNvPr id="317050" name="Rectangle 28"/>
        <xdr:cNvSpPr>
          <a:spLocks noChangeArrowheads="1"/>
        </xdr:cNvSpPr>
      </xdr:nvSpPr>
      <xdr:spPr bwMode="auto">
        <a:xfrm>
          <a:off x="78181200" y="75152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1571625</xdr:colOff>
      <xdr:row>35</xdr:row>
      <xdr:rowOff>142875</xdr:rowOff>
    </xdr:from>
    <xdr:to>
      <xdr:col>106</xdr:col>
      <xdr:colOff>0</xdr:colOff>
      <xdr:row>36</xdr:row>
      <xdr:rowOff>104775</xdr:rowOff>
    </xdr:to>
    <xdr:sp macro="" textlink="">
      <xdr:nvSpPr>
        <xdr:cNvPr id="317051" name="Rectangle 28"/>
        <xdr:cNvSpPr>
          <a:spLocks noChangeArrowheads="1"/>
        </xdr:cNvSpPr>
      </xdr:nvSpPr>
      <xdr:spPr bwMode="auto">
        <a:xfrm>
          <a:off x="78181200" y="771525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1571625</xdr:colOff>
      <xdr:row>35</xdr:row>
      <xdr:rowOff>142875</xdr:rowOff>
    </xdr:from>
    <xdr:to>
      <xdr:col>106</xdr:col>
      <xdr:colOff>0</xdr:colOff>
      <xdr:row>36</xdr:row>
      <xdr:rowOff>104775</xdr:rowOff>
    </xdr:to>
    <xdr:sp macro="" textlink="">
      <xdr:nvSpPr>
        <xdr:cNvPr id="317052" name="Rectangle 28"/>
        <xdr:cNvSpPr>
          <a:spLocks noChangeArrowheads="1"/>
        </xdr:cNvSpPr>
      </xdr:nvSpPr>
      <xdr:spPr bwMode="auto">
        <a:xfrm>
          <a:off x="78181200" y="771525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1571625</xdr:colOff>
      <xdr:row>35</xdr:row>
      <xdr:rowOff>142875</xdr:rowOff>
    </xdr:from>
    <xdr:to>
      <xdr:col>106</xdr:col>
      <xdr:colOff>0</xdr:colOff>
      <xdr:row>36</xdr:row>
      <xdr:rowOff>104775</xdr:rowOff>
    </xdr:to>
    <xdr:sp macro="" textlink="">
      <xdr:nvSpPr>
        <xdr:cNvPr id="317053" name="Rectangle 28"/>
        <xdr:cNvSpPr>
          <a:spLocks noChangeArrowheads="1"/>
        </xdr:cNvSpPr>
      </xdr:nvSpPr>
      <xdr:spPr bwMode="auto">
        <a:xfrm>
          <a:off x="78181200" y="771525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1571625</xdr:colOff>
      <xdr:row>35</xdr:row>
      <xdr:rowOff>142875</xdr:rowOff>
    </xdr:from>
    <xdr:to>
      <xdr:col>106</xdr:col>
      <xdr:colOff>0</xdr:colOff>
      <xdr:row>36</xdr:row>
      <xdr:rowOff>104775</xdr:rowOff>
    </xdr:to>
    <xdr:sp macro="" textlink="">
      <xdr:nvSpPr>
        <xdr:cNvPr id="317054" name="Rectangle 28"/>
        <xdr:cNvSpPr>
          <a:spLocks noChangeArrowheads="1"/>
        </xdr:cNvSpPr>
      </xdr:nvSpPr>
      <xdr:spPr bwMode="auto">
        <a:xfrm>
          <a:off x="78181200" y="771525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1571625</xdr:colOff>
      <xdr:row>35</xdr:row>
      <xdr:rowOff>142875</xdr:rowOff>
    </xdr:from>
    <xdr:to>
      <xdr:col>106</xdr:col>
      <xdr:colOff>0</xdr:colOff>
      <xdr:row>36</xdr:row>
      <xdr:rowOff>104775</xdr:rowOff>
    </xdr:to>
    <xdr:sp macro="" textlink="">
      <xdr:nvSpPr>
        <xdr:cNvPr id="317055" name="Rectangle 28"/>
        <xdr:cNvSpPr>
          <a:spLocks noChangeArrowheads="1"/>
        </xdr:cNvSpPr>
      </xdr:nvSpPr>
      <xdr:spPr bwMode="auto">
        <a:xfrm>
          <a:off x="78181200" y="771525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1571625</xdr:colOff>
      <xdr:row>35</xdr:row>
      <xdr:rowOff>142875</xdr:rowOff>
    </xdr:from>
    <xdr:to>
      <xdr:col>106</xdr:col>
      <xdr:colOff>0</xdr:colOff>
      <xdr:row>36</xdr:row>
      <xdr:rowOff>104775</xdr:rowOff>
    </xdr:to>
    <xdr:sp macro="" textlink="">
      <xdr:nvSpPr>
        <xdr:cNvPr id="317056" name="Rectangle 28"/>
        <xdr:cNvSpPr>
          <a:spLocks noChangeArrowheads="1"/>
        </xdr:cNvSpPr>
      </xdr:nvSpPr>
      <xdr:spPr bwMode="auto">
        <a:xfrm>
          <a:off x="78181200" y="771525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1571625</xdr:colOff>
      <xdr:row>36</xdr:row>
      <xdr:rowOff>142875</xdr:rowOff>
    </xdr:from>
    <xdr:to>
      <xdr:col>106</xdr:col>
      <xdr:colOff>0</xdr:colOff>
      <xdr:row>37</xdr:row>
      <xdr:rowOff>95250</xdr:rowOff>
    </xdr:to>
    <xdr:sp macro="" textlink="">
      <xdr:nvSpPr>
        <xdr:cNvPr id="317057" name="Rectangle 28"/>
        <xdr:cNvSpPr>
          <a:spLocks noChangeArrowheads="1"/>
        </xdr:cNvSpPr>
      </xdr:nvSpPr>
      <xdr:spPr bwMode="auto">
        <a:xfrm>
          <a:off x="78181200" y="7915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1571625</xdr:colOff>
      <xdr:row>36</xdr:row>
      <xdr:rowOff>142875</xdr:rowOff>
    </xdr:from>
    <xdr:to>
      <xdr:col>106</xdr:col>
      <xdr:colOff>0</xdr:colOff>
      <xdr:row>37</xdr:row>
      <xdr:rowOff>95250</xdr:rowOff>
    </xdr:to>
    <xdr:sp macro="" textlink="">
      <xdr:nvSpPr>
        <xdr:cNvPr id="317058" name="Rectangle 28"/>
        <xdr:cNvSpPr>
          <a:spLocks noChangeArrowheads="1"/>
        </xdr:cNvSpPr>
      </xdr:nvSpPr>
      <xdr:spPr bwMode="auto">
        <a:xfrm>
          <a:off x="78181200" y="7915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1571625</xdr:colOff>
      <xdr:row>36</xdr:row>
      <xdr:rowOff>142875</xdr:rowOff>
    </xdr:from>
    <xdr:to>
      <xdr:col>106</xdr:col>
      <xdr:colOff>0</xdr:colOff>
      <xdr:row>37</xdr:row>
      <xdr:rowOff>95250</xdr:rowOff>
    </xdr:to>
    <xdr:sp macro="" textlink="">
      <xdr:nvSpPr>
        <xdr:cNvPr id="317059" name="Rectangle 28"/>
        <xdr:cNvSpPr>
          <a:spLocks noChangeArrowheads="1"/>
        </xdr:cNvSpPr>
      </xdr:nvSpPr>
      <xdr:spPr bwMode="auto">
        <a:xfrm>
          <a:off x="78181200" y="7915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1571625</xdr:colOff>
      <xdr:row>36</xdr:row>
      <xdr:rowOff>142875</xdr:rowOff>
    </xdr:from>
    <xdr:to>
      <xdr:col>106</xdr:col>
      <xdr:colOff>0</xdr:colOff>
      <xdr:row>37</xdr:row>
      <xdr:rowOff>95250</xdr:rowOff>
    </xdr:to>
    <xdr:sp macro="" textlink="">
      <xdr:nvSpPr>
        <xdr:cNvPr id="317060" name="Rectangle 28"/>
        <xdr:cNvSpPr>
          <a:spLocks noChangeArrowheads="1"/>
        </xdr:cNvSpPr>
      </xdr:nvSpPr>
      <xdr:spPr bwMode="auto">
        <a:xfrm>
          <a:off x="78181200" y="7915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1571625</xdr:colOff>
      <xdr:row>36</xdr:row>
      <xdr:rowOff>142875</xdr:rowOff>
    </xdr:from>
    <xdr:to>
      <xdr:col>106</xdr:col>
      <xdr:colOff>0</xdr:colOff>
      <xdr:row>37</xdr:row>
      <xdr:rowOff>95250</xdr:rowOff>
    </xdr:to>
    <xdr:sp macro="" textlink="">
      <xdr:nvSpPr>
        <xdr:cNvPr id="317061" name="Rectangle 28"/>
        <xdr:cNvSpPr>
          <a:spLocks noChangeArrowheads="1"/>
        </xdr:cNvSpPr>
      </xdr:nvSpPr>
      <xdr:spPr bwMode="auto">
        <a:xfrm>
          <a:off x="78181200" y="7915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1571625</xdr:colOff>
      <xdr:row>36</xdr:row>
      <xdr:rowOff>142875</xdr:rowOff>
    </xdr:from>
    <xdr:to>
      <xdr:col>106</xdr:col>
      <xdr:colOff>0</xdr:colOff>
      <xdr:row>37</xdr:row>
      <xdr:rowOff>95250</xdr:rowOff>
    </xdr:to>
    <xdr:sp macro="" textlink="">
      <xdr:nvSpPr>
        <xdr:cNvPr id="317062" name="Rectangle 28"/>
        <xdr:cNvSpPr>
          <a:spLocks noChangeArrowheads="1"/>
        </xdr:cNvSpPr>
      </xdr:nvSpPr>
      <xdr:spPr bwMode="auto">
        <a:xfrm>
          <a:off x="78181200" y="7915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1571625</xdr:colOff>
      <xdr:row>37</xdr:row>
      <xdr:rowOff>123825</xdr:rowOff>
    </xdr:from>
    <xdr:to>
      <xdr:col>106</xdr:col>
      <xdr:colOff>0</xdr:colOff>
      <xdr:row>38</xdr:row>
      <xdr:rowOff>76200</xdr:rowOff>
    </xdr:to>
    <xdr:sp macro="" textlink="">
      <xdr:nvSpPr>
        <xdr:cNvPr id="317063" name="Rectangle 28"/>
        <xdr:cNvSpPr>
          <a:spLocks noChangeArrowheads="1"/>
        </xdr:cNvSpPr>
      </xdr:nvSpPr>
      <xdr:spPr bwMode="auto">
        <a:xfrm>
          <a:off x="78181200" y="80962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1571625</xdr:colOff>
      <xdr:row>37</xdr:row>
      <xdr:rowOff>123825</xdr:rowOff>
    </xdr:from>
    <xdr:to>
      <xdr:col>106</xdr:col>
      <xdr:colOff>0</xdr:colOff>
      <xdr:row>38</xdr:row>
      <xdr:rowOff>76200</xdr:rowOff>
    </xdr:to>
    <xdr:sp macro="" textlink="">
      <xdr:nvSpPr>
        <xdr:cNvPr id="317064" name="Rectangle 28"/>
        <xdr:cNvSpPr>
          <a:spLocks noChangeArrowheads="1"/>
        </xdr:cNvSpPr>
      </xdr:nvSpPr>
      <xdr:spPr bwMode="auto">
        <a:xfrm>
          <a:off x="78181200" y="80962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1571625</xdr:colOff>
      <xdr:row>37</xdr:row>
      <xdr:rowOff>123825</xdr:rowOff>
    </xdr:from>
    <xdr:to>
      <xdr:col>106</xdr:col>
      <xdr:colOff>0</xdr:colOff>
      <xdr:row>38</xdr:row>
      <xdr:rowOff>76200</xdr:rowOff>
    </xdr:to>
    <xdr:sp macro="" textlink="">
      <xdr:nvSpPr>
        <xdr:cNvPr id="317065" name="Rectangle 28"/>
        <xdr:cNvSpPr>
          <a:spLocks noChangeArrowheads="1"/>
        </xdr:cNvSpPr>
      </xdr:nvSpPr>
      <xdr:spPr bwMode="auto">
        <a:xfrm>
          <a:off x="78181200" y="80962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1571625</xdr:colOff>
      <xdr:row>37</xdr:row>
      <xdr:rowOff>123825</xdr:rowOff>
    </xdr:from>
    <xdr:to>
      <xdr:col>106</xdr:col>
      <xdr:colOff>0</xdr:colOff>
      <xdr:row>38</xdr:row>
      <xdr:rowOff>76200</xdr:rowOff>
    </xdr:to>
    <xdr:sp macro="" textlink="">
      <xdr:nvSpPr>
        <xdr:cNvPr id="317066" name="Rectangle 28"/>
        <xdr:cNvSpPr>
          <a:spLocks noChangeArrowheads="1"/>
        </xdr:cNvSpPr>
      </xdr:nvSpPr>
      <xdr:spPr bwMode="auto">
        <a:xfrm>
          <a:off x="78181200" y="80962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1571625</xdr:colOff>
      <xdr:row>37</xdr:row>
      <xdr:rowOff>123825</xdr:rowOff>
    </xdr:from>
    <xdr:to>
      <xdr:col>106</xdr:col>
      <xdr:colOff>0</xdr:colOff>
      <xdr:row>38</xdr:row>
      <xdr:rowOff>76200</xdr:rowOff>
    </xdr:to>
    <xdr:sp macro="" textlink="">
      <xdr:nvSpPr>
        <xdr:cNvPr id="317067" name="Rectangle 28"/>
        <xdr:cNvSpPr>
          <a:spLocks noChangeArrowheads="1"/>
        </xdr:cNvSpPr>
      </xdr:nvSpPr>
      <xdr:spPr bwMode="auto">
        <a:xfrm>
          <a:off x="78181200" y="80962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1571625</xdr:colOff>
      <xdr:row>37</xdr:row>
      <xdr:rowOff>123825</xdr:rowOff>
    </xdr:from>
    <xdr:to>
      <xdr:col>106</xdr:col>
      <xdr:colOff>0</xdr:colOff>
      <xdr:row>38</xdr:row>
      <xdr:rowOff>76200</xdr:rowOff>
    </xdr:to>
    <xdr:sp macro="" textlink="">
      <xdr:nvSpPr>
        <xdr:cNvPr id="317068" name="Rectangle 28"/>
        <xdr:cNvSpPr>
          <a:spLocks noChangeArrowheads="1"/>
        </xdr:cNvSpPr>
      </xdr:nvSpPr>
      <xdr:spPr bwMode="auto">
        <a:xfrm>
          <a:off x="78181200" y="80962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1571625</xdr:colOff>
      <xdr:row>38</xdr:row>
      <xdr:rowOff>123825</xdr:rowOff>
    </xdr:from>
    <xdr:to>
      <xdr:col>106</xdr:col>
      <xdr:colOff>0</xdr:colOff>
      <xdr:row>39</xdr:row>
      <xdr:rowOff>66675</xdr:rowOff>
    </xdr:to>
    <xdr:sp macro="" textlink="">
      <xdr:nvSpPr>
        <xdr:cNvPr id="317069" name="Rectangle 28"/>
        <xdr:cNvSpPr>
          <a:spLocks noChangeArrowheads="1"/>
        </xdr:cNvSpPr>
      </xdr:nvSpPr>
      <xdr:spPr bwMode="auto">
        <a:xfrm>
          <a:off x="78181200" y="8296275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1571625</xdr:colOff>
      <xdr:row>38</xdr:row>
      <xdr:rowOff>123825</xdr:rowOff>
    </xdr:from>
    <xdr:to>
      <xdr:col>106</xdr:col>
      <xdr:colOff>0</xdr:colOff>
      <xdr:row>39</xdr:row>
      <xdr:rowOff>66675</xdr:rowOff>
    </xdr:to>
    <xdr:sp macro="" textlink="">
      <xdr:nvSpPr>
        <xdr:cNvPr id="317070" name="Rectangle 28"/>
        <xdr:cNvSpPr>
          <a:spLocks noChangeArrowheads="1"/>
        </xdr:cNvSpPr>
      </xdr:nvSpPr>
      <xdr:spPr bwMode="auto">
        <a:xfrm>
          <a:off x="78181200" y="8296275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1571625</xdr:colOff>
      <xdr:row>38</xdr:row>
      <xdr:rowOff>123825</xdr:rowOff>
    </xdr:from>
    <xdr:to>
      <xdr:col>106</xdr:col>
      <xdr:colOff>0</xdr:colOff>
      <xdr:row>39</xdr:row>
      <xdr:rowOff>66675</xdr:rowOff>
    </xdr:to>
    <xdr:sp macro="" textlink="">
      <xdr:nvSpPr>
        <xdr:cNvPr id="317071" name="Rectangle 28"/>
        <xdr:cNvSpPr>
          <a:spLocks noChangeArrowheads="1"/>
        </xdr:cNvSpPr>
      </xdr:nvSpPr>
      <xdr:spPr bwMode="auto">
        <a:xfrm>
          <a:off x="78181200" y="8296275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1571625</xdr:colOff>
      <xdr:row>38</xdr:row>
      <xdr:rowOff>123825</xdr:rowOff>
    </xdr:from>
    <xdr:to>
      <xdr:col>106</xdr:col>
      <xdr:colOff>0</xdr:colOff>
      <xdr:row>39</xdr:row>
      <xdr:rowOff>66675</xdr:rowOff>
    </xdr:to>
    <xdr:sp macro="" textlink="">
      <xdr:nvSpPr>
        <xdr:cNvPr id="317072" name="Rectangle 28"/>
        <xdr:cNvSpPr>
          <a:spLocks noChangeArrowheads="1"/>
        </xdr:cNvSpPr>
      </xdr:nvSpPr>
      <xdr:spPr bwMode="auto">
        <a:xfrm>
          <a:off x="78181200" y="8296275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1571625</xdr:colOff>
      <xdr:row>38</xdr:row>
      <xdr:rowOff>123825</xdr:rowOff>
    </xdr:from>
    <xdr:to>
      <xdr:col>106</xdr:col>
      <xdr:colOff>0</xdr:colOff>
      <xdr:row>39</xdr:row>
      <xdr:rowOff>66675</xdr:rowOff>
    </xdr:to>
    <xdr:sp macro="" textlink="">
      <xdr:nvSpPr>
        <xdr:cNvPr id="317073" name="Rectangle 28"/>
        <xdr:cNvSpPr>
          <a:spLocks noChangeArrowheads="1"/>
        </xdr:cNvSpPr>
      </xdr:nvSpPr>
      <xdr:spPr bwMode="auto">
        <a:xfrm>
          <a:off x="78181200" y="8296275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1571625</xdr:colOff>
      <xdr:row>38</xdr:row>
      <xdr:rowOff>123825</xdr:rowOff>
    </xdr:from>
    <xdr:to>
      <xdr:col>106</xdr:col>
      <xdr:colOff>0</xdr:colOff>
      <xdr:row>39</xdr:row>
      <xdr:rowOff>66675</xdr:rowOff>
    </xdr:to>
    <xdr:sp macro="" textlink="">
      <xdr:nvSpPr>
        <xdr:cNvPr id="317074" name="Rectangle 28"/>
        <xdr:cNvSpPr>
          <a:spLocks noChangeArrowheads="1"/>
        </xdr:cNvSpPr>
      </xdr:nvSpPr>
      <xdr:spPr bwMode="auto">
        <a:xfrm>
          <a:off x="78181200" y="8296275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1571625</xdr:colOff>
      <xdr:row>39</xdr:row>
      <xdr:rowOff>123825</xdr:rowOff>
    </xdr:from>
    <xdr:to>
      <xdr:col>106</xdr:col>
      <xdr:colOff>0</xdr:colOff>
      <xdr:row>40</xdr:row>
      <xdr:rowOff>66675</xdr:rowOff>
    </xdr:to>
    <xdr:sp macro="" textlink="">
      <xdr:nvSpPr>
        <xdr:cNvPr id="317075" name="Rectangle 28"/>
        <xdr:cNvSpPr>
          <a:spLocks noChangeArrowheads="1"/>
        </xdr:cNvSpPr>
      </xdr:nvSpPr>
      <xdr:spPr bwMode="auto">
        <a:xfrm>
          <a:off x="78181200" y="84963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1571625</xdr:colOff>
      <xdr:row>39</xdr:row>
      <xdr:rowOff>123825</xdr:rowOff>
    </xdr:from>
    <xdr:to>
      <xdr:col>106</xdr:col>
      <xdr:colOff>0</xdr:colOff>
      <xdr:row>40</xdr:row>
      <xdr:rowOff>66675</xdr:rowOff>
    </xdr:to>
    <xdr:sp macro="" textlink="">
      <xdr:nvSpPr>
        <xdr:cNvPr id="317076" name="Rectangle 28"/>
        <xdr:cNvSpPr>
          <a:spLocks noChangeArrowheads="1"/>
        </xdr:cNvSpPr>
      </xdr:nvSpPr>
      <xdr:spPr bwMode="auto">
        <a:xfrm>
          <a:off x="78181200" y="84963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1571625</xdr:colOff>
      <xdr:row>39</xdr:row>
      <xdr:rowOff>123825</xdr:rowOff>
    </xdr:from>
    <xdr:to>
      <xdr:col>106</xdr:col>
      <xdr:colOff>0</xdr:colOff>
      <xdr:row>40</xdr:row>
      <xdr:rowOff>66675</xdr:rowOff>
    </xdr:to>
    <xdr:sp macro="" textlink="">
      <xdr:nvSpPr>
        <xdr:cNvPr id="317077" name="Rectangle 28"/>
        <xdr:cNvSpPr>
          <a:spLocks noChangeArrowheads="1"/>
        </xdr:cNvSpPr>
      </xdr:nvSpPr>
      <xdr:spPr bwMode="auto">
        <a:xfrm>
          <a:off x="78181200" y="84963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1571625</xdr:colOff>
      <xdr:row>39</xdr:row>
      <xdr:rowOff>123825</xdr:rowOff>
    </xdr:from>
    <xdr:to>
      <xdr:col>106</xdr:col>
      <xdr:colOff>0</xdr:colOff>
      <xdr:row>40</xdr:row>
      <xdr:rowOff>66675</xdr:rowOff>
    </xdr:to>
    <xdr:sp macro="" textlink="">
      <xdr:nvSpPr>
        <xdr:cNvPr id="317078" name="Rectangle 28"/>
        <xdr:cNvSpPr>
          <a:spLocks noChangeArrowheads="1"/>
        </xdr:cNvSpPr>
      </xdr:nvSpPr>
      <xdr:spPr bwMode="auto">
        <a:xfrm>
          <a:off x="78181200" y="84963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1571625</xdr:colOff>
      <xdr:row>39</xdr:row>
      <xdr:rowOff>123825</xdr:rowOff>
    </xdr:from>
    <xdr:to>
      <xdr:col>106</xdr:col>
      <xdr:colOff>0</xdr:colOff>
      <xdr:row>40</xdr:row>
      <xdr:rowOff>66675</xdr:rowOff>
    </xdr:to>
    <xdr:sp macro="" textlink="">
      <xdr:nvSpPr>
        <xdr:cNvPr id="317079" name="Rectangle 28"/>
        <xdr:cNvSpPr>
          <a:spLocks noChangeArrowheads="1"/>
        </xdr:cNvSpPr>
      </xdr:nvSpPr>
      <xdr:spPr bwMode="auto">
        <a:xfrm>
          <a:off x="78181200" y="84963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1571625</xdr:colOff>
      <xdr:row>39</xdr:row>
      <xdr:rowOff>123825</xdr:rowOff>
    </xdr:from>
    <xdr:to>
      <xdr:col>106</xdr:col>
      <xdr:colOff>0</xdr:colOff>
      <xdr:row>40</xdr:row>
      <xdr:rowOff>66675</xdr:rowOff>
    </xdr:to>
    <xdr:sp macro="" textlink="">
      <xdr:nvSpPr>
        <xdr:cNvPr id="317080" name="Rectangle 28"/>
        <xdr:cNvSpPr>
          <a:spLocks noChangeArrowheads="1"/>
        </xdr:cNvSpPr>
      </xdr:nvSpPr>
      <xdr:spPr bwMode="auto">
        <a:xfrm>
          <a:off x="78181200" y="84963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1571625</xdr:colOff>
      <xdr:row>40</xdr:row>
      <xdr:rowOff>104775</xdr:rowOff>
    </xdr:from>
    <xdr:to>
      <xdr:col>106</xdr:col>
      <xdr:colOff>0</xdr:colOff>
      <xdr:row>41</xdr:row>
      <xdr:rowOff>57150</xdr:rowOff>
    </xdr:to>
    <xdr:sp macro="" textlink="">
      <xdr:nvSpPr>
        <xdr:cNvPr id="317081" name="Rectangle 28"/>
        <xdr:cNvSpPr>
          <a:spLocks noChangeArrowheads="1"/>
        </xdr:cNvSpPr>
      </xdr:nvSpPr>
      <xdr:spPr bwMode="auto">
        <a:xfrm>
          <a:off x="78181200" y="8677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1571625</xdr:colOff>
      <xdr:row>40</xdr:row>
      <xdr:rowOff>104775</xdr:rowOff>
    </xdr:from>
    <xdr:to>
      <xdr:col>106</xdr:col>
      <xdr:colOff>0</xdr:colOff>
      <xdr:row>41</xdr:row>
      <xdr:rowOff>57150</xdr:rowOff>
    </xdr:to>
    <xdr:sp macro="" textlink="">
      <xdr:nvSpPr>
        <xdr:cNvPr id="317082" name="Rectangle 28"/>
        <xdr:cNvSpPr>
          <a:spLocks noChangeArrowheads="1"/>
        </xdr:cNvSpPr>
      </xdr:nvSpPr>
      <xdr:spPr bwMode="auto">
        <a:xfrm>
          <a:off x="78181200" y="8677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1571625</xdr:colOff>
      <xdr:row>40</xdr:row>
      <xdr:rowOff>104775</xdr:rowOff>
    </xdr:from>
    <xdr:to>
      <xdr:col>106</xdr:col>
      <xdr:colOff>0</xdr:colOff>
      <xdr:row>41</xdr:row>
      <xdr:rowOff>57150</xdr:rowOff>
    </xdr:to>
    <xdr:sp macro="" textlink="">
      <xdr:nvSpPr>
        <xdr:cNvPr id="317083" name="Rectangle 28"/>
        <xdr:cNvSpPr>
          <a:spLocks noChangeArrowheads="1"/>
        </xdr:cNvSpPr>
      </xdr:nvSpPr>
      <xdr:spPr bwMode="auto">
        <a:xfrm>
          <a:off x="78181200" y="8677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1571625</xdr:colOff>
      <xdr:row>40</xdr:row>
      <xdr:rowOff>104775</xdr:rowOff>
    </xdr:from>
    <xdr:to>
      <xdr:col>106</xdr:col>
      <xdr:colOff>0</xdr:colOff>
      <xdr:row>41</xdr:row>
      <xdr:rowOff>57150</xdr:rowOff>
    </xdr:to>
    <xdr:sp macro="" textlink="">
      <xdr:nvSpPr>
        <xdr:cNvPr id="317084" name="Rectangle 28"/>
        <xdr:cNvSpPr>
          <a:spLocks noChangeArrowheads="1"/>
        </xdr:cNvSpPr>
      </xdr:nvSpPr>
      <xdr:spPr bwMode="auto">
        <a:xfrm>
          <a:off x="78181200" y="8677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1571625</xdr:colOff>
      <xdr:row>40</xdr:row>
      <xdr:rowOff>104775</xdr:rowOff>
    </xdr:from>
    <xdr:to>
      <xdr:col>106</xdr:col>
      <xdr:colOff>0</xdr:colOff>
      <xdr:row>41</xdr:row>
      <xdr:rowOff>57150</xdr:rowOff>
    </xdr:to>
    <xdr:sp macro="" textlink="">
      <xdr:nvSpPr>
        <xdr:cNvPr id="317085" name="Rectangle 28"/>
        <xdr:cNvSpPr>
          <a:spLocks noChangeArrowheads="1"/>
        </xdr:cNvSpPr>
      </xdr:nvSpPr>
      <xdr:spPr bwMode="auto">
        <a:xfrm>
          <a:off x="78181200" y="8677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1571625</xdr:colOff>
      <xdr:row>40</xdr:row>
      <xdr:rowOff>104775</xdr:rowOff>
    </xdr:from>
    <xdr:to>
      <xdr:col>106</xdr:col>
      <xdr:colOff>0</xdr:colOff>
      <xdr:row>41</xdr:row>
      <xdr:rowOff>57150</xdr:rowOff>
    </xdr:to>
    <xdr:sp macro="" textlink="">
      <xdr:nvSpPr>
        <xdr:cNvPr id="317086" name="Rectangle 28"/>
        <xdr:cNvSpPr>
          <a:spLocks noChangeArrowheads="1"/>
        </xdr:cNvSpPr>
      </xdr:nvSpPr>
      <xdr:spPr bwMode="auto">
        <a:xfrm>
          <a:off x="78181200" y="86772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1571625</xdr:colOff>
      <xdr:row>41</xdr:row>
      <xdr:rowOff>76200</xdr:rowOff>
    </xdr:from>
    <xdr:to>
      <xdr:col>106</xdr:col>
      <xdr:colOff>0</xdr:colOff>
      <xdr:row>42</xdr:row>
      <xdr:rowOff>38100</xdr:rowOff>
    </xdr:to>
    <xdr:sp macro="" textlink="">
      <xdr:nvSpPr>
        <xdr:cNvPr id="317087" name="Rectangle 28"/>
        <xdr:cNvSpPr>
          <a:spLocks noChangeArrowheads="1"/>
        </xdr:cNvSpPr>
      </xdr:nvSpPr>
      <xdr:spPr bwMode="auto">
        <a:xfrm>
          <a:off x="78181200" y="88487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1571625</xdr:colOff>
      <xdr:row>41</xdr:row>
      <xdr:rowOff>76200</xdr:rowOff>
    </xdr:from>
    <xdr:to>
      <xdr:col>106</xdr:col>
      <xdr:colOff>0</xdr:colOff>
      <xdr:row>42</xdr:row>
      <xdr:rowOff>38100</xdr:rowOff>
    </xdr:to>
    <xdr:sp macro="" textlink="">
      <xdr:nvSpPr>
        <xdr:cNvPr id="317088" name="Rectangle 28"/>
        <xdr:cNvSpPr>
          <a:spLocks noChangeArrowheads="1"/>
        </xdr:cNvSpPr>
      </xdr:nvSpPr>
      <xdr:spPr bwMode="auto">
        <a:xfrm>
          <a:off x="78181200" y="88487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1571625</xdr:colOff>
      <xdr:row>41</xdr:row>
      <xdr:rowOff>76200</xdr:rowOff>
    </xdr:from>
    <xdr:to>
      <xdr:col>106</xdr:col>
      <xdr:colOff>0</xdr:colOff>
      <xdr:row>42</xdr:row>
      <xdr:rowOff>38100</xdr:rowOff>
    </xdr:to>
    <xdr:sp macro="" textlink="">
      <xdr:nvSpPr>
        <xdr:cNvPr id="317089" name="Rectangle 28"/>
        <xdr:cNvSpPr>
          <a:spLocks noChangeArrowheads="1"/>
        </xdr:cNvSpPr>
      </xdr:nvSpPr>
      <xdr:spPr bwMode="auto">
        <a:xfrm>
          <a:off x="78181200" y="88487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1571625</xdr:colOff>
      <xdr:row>41</xdr:row>
      <xdr:rowOff>76200</xdr:rowOff>
    </xdr:from>
    <xdr:to>
      <xdr:col>106</xdr:col>
      <xdr:colOff>0</xdr:colOff>
      <xdr:row>42</xdr:row>
      <xdr:rowOff>38100</xdr:rowOff>
    </xdr:to>
    <xdr:sp macro="" textlink="">
      <xdr:nvSpPr>
        <xdr:cNvPr id="317090" name="Rectangle 28"/>
        <xdr:cNvSpPr>
          <a:spLocks noChangeArrowheads="1"/>
        </xdr:cNvSpPr>
      </xdr:nvSpPr>
      <xdr:spPr bwMode="auto">
        <a:xfrm>
          <a:off x="78181200" y="88487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1571625</xdr:colOff>
      <xdr:row>41</xdr:row>
      <xdr:rowOff>76200</xdr:rowOff>
    </xdr:from>
    <xdr:to>
      <xdr:col>106</xdr:col>
      <xdr:colOff>0</xdr:colOff>
      <xdr:row>42</xdr:row>
      <xdr:rowOff>38100</xdr:rowOff>
    </xdr:to>
    <xdr:sp macro="" textlink="">
      <xdr:nvSpPr>
        <xdr:cNvPr id="317091" name="Rectangle 28"/>
        <xdr:cNvSpPr>
          <a:spLocks noChangeArrowheads="1"/>
        </xdr:cNvSpPr>
      </xdr:nvSpPr>
      <xdr:spPr bwMode="auto">
        <a:xfrm>
          <a:off x="78181200" y="88487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1571625</xdr:colOff>
      <xdr:row>41</xdr:row>
      <xdr:rowOff>76200</xdr:rowOff>
    </xdr:from>
    <xdr:to>
      <xdr:col>106</xdr:col>
      <xdr:colOff>0</xdr:colOff>
      <xdr:row>42</xdr:row>
      <xdr:rowOff>38100</xdr:rowOff>
    </xdr:to>
    <xdr:sp macro="" textlink="">
      <xdr:nvSpPr>
        <xdr:cNvPr id="317092" name="Rectangle 28"/>
        <xdr:cNvSpPr>
          <a:spLocks noChangeArrowheads="1"/>
        </xdr:cNvSpPr>
      </xdr:nvSpPr>
      <xdr:spPr bwMode="auto">
        <a:xfrm>
          <a:off x="78181200" y="88487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1571625</xdr:colOff>
      <xdr:row>42</xdr:row>
      <xdr:rowOff>76200</xdr:rowOff>
    </xdr:from>
    <xdr:to>
      <xdr:col>106</xdr:col>
      <xdr:colOff>0</xdr:colOff>
      <xdr:row>43</xdr:row>
      <xdr:rowOff>28575</xdr:rowOff>
    </xdr:to>
    <xdr:sp macro="" textlink="">
      <xdr:nvSpPr>
        <xdr:cNvPr id="317093" name="Rectangle 28"/>
        <xdr:cNvSpPr>
          <a:spLocks noChangeArrowheads="1"/>
        </xdr:cNvSpPr>
      </xdr:nvSpPr>
      <xdr:spPr bwMode="auto">
        <a:xfrm>
          <a:off x="78181200" y="90487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1571625</xdr:colOff>
      <xdr:row>42</xdr:row>
      <xdr:rowOff>76200</xdr:rowOff>
    </xdr:from>
    <xdr:to>
      <xdr:col>106</xdr:col>
      <xdr:colOff>0</xdr:colOff>
      <xdr:row>43</xdr:row>
      <xdr:rowOff>28575</xdr:rowOff>
    </xdr:to>
    <xdr:sp macro="" textlink="">
      <xdr:nvSpPr>
        <xdr:cNvPr id="317094" name="Rectangle 28"/>
        <xdr:cNvSpPr>
          <a:spLocks noChangeArrowheads="1"/>
        </xdr:cNvSpPr>
      </xdr:nvSpPr>
      <xdr:spPr bwMode="auto">
        <a:xfrm>
          <a:off x="78181200" y="90487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1571625</xdr:colOff>
      <xdr:row>42</xdr:row>
      <xdr:rowOff>76200</xdr:rowOff>
    </xdr:from>
    <xdr:to>
      <xdr:col>106</xdr:col>
      <xdr:colOff>0</xdr:colOff>
      <xdr:row>43</xdr:row>
      <xdr:rowOff>28575</xdr:rowOff>
    </xdr:to>
    <xdr:sp macro="" textlink="">
      <xdr:nvSpPr>
        <xdr:cNvPr id="317095" name="Rectangle 28"/>
        <xdr:cNvSpPr>
          <a:spLocks noChangeArrowheads="1"/>
        </xdr:cNvSpPr>
      </xdr:nvSpPr>
      <xdr:spPr bwMode="auto">
        <a:xfrm>
          <a:off x="78181200" y="90487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1571625</xdr:colOff>
      <xdr:row>42</xdr:row>
      <xdr:rowOff>76200</xdr:rowOff>
    </xdr:from>
    <xdr:to>
      <xdr:col>106</xdr:col>
      <xdr:colOff>0</xdr:colOff>
      <xdr:row>43</xdr:row>
      <xdr:rowOff>28575</xdr:rowOff>
    </xdr:to>
    <xdr:sp macro="" textlink="">
      <xdr:nvSpPr>
        <xdr:cNvPr id="317096" name="Rectangle 28"/>
        <xdr:cNvSpPr>
          <a:spLocks noChangeArrowheads="1"/>
        </xdr:cNvSpPr>
      </xdr:nvSpPr>
      <xdr:spPr bwMode="auto">
        <a:xfrm>
          <a:off x="78181200" y="90487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1571625</xdr:colOff>
      <xdr:row>42</xdr:row>
      <xdr:rowOff>76200</xdr:rowOff>
    </xdr:from>
    <xdr:to>
      <xdr:col>106</xdr:col>
      <xdr:colOff>0</xdr:colOff>
      <xdr:row>43</xdr:row>
      <xdr:rowOff>28575</xdr:rowOff>
    </xdr:to>
    <xdr:sp macro="" textlink="">
      <xdr:nvSpPr>
        <xdr:cNvPr id="317097" name="Rectangle 28"/>
        <xdr:cNvSpPr>
          <a:spLocks noChangeArrowheads="1"/>
        </xdr:cNvSpPr>
      </xdr:nvSpPr>
      <xdr:spPr bwMode="auto">
        <a:xfrm>
          <a:off x="78181200" y="90487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1571625</xdr:colOff>
      <xdr:row>42</xdr:row>
      <xdr:rowOff>76200</xdr:rowOff>
    </xdr:from>
    <xdr:to>
      <xdr:col>106</xdr:col>
      <xdr:colOff>0</xdr:colOff>
      <xdr:row>43</xdr:row>
      <xdr:rowOff>28575</xdr:rowOff>
    </xdr:to>
    <xdr:sp macro="" textlink="">
      <xdr:nvSpPr>
        <xdr:cNvPr id="317098" name="Rectangle 28"/>
        <xdr:cNvSpPr>
          <a:spLocks noChangeArrowheads="1"/>
        </xdr:cNvSpPr>
      </xdr:nvSpPr>
      <xdr:spPr bwMode="auto">
        <a:xfrm>
          <a:off x="78181200" y="90487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1571625</xdr:colOff>
      <xdr:row>43</xdr:row>
      <xdr:rowOff>76200</xdr:rowOff>
    </xdr:from>
    <xdr:to>
      <xdr:col>106</xdr:col>
      <xdr:colOff>0</xdr:colOff>
      <xdr:row>44</xdr:row>
      <xdr:rowOff>28575</xdr:rowOff>
    </xdr:to>
    <xdr:sp macro="" textlink="">
      <xdr:nvSpPr>
        <xdr:cNvPr id="317099" name="Rectangle 28"/>
        <xdr:cNvSpPr>
          <a:spLocks noChangeArrowheads="1"/>
        </xdr:cNvSpPr>
      </xdr:nvSpPr>
      <xdr:spPr bwMode="auto">
        <a:xfrm>
          <a:off x="78181200" y="92487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1571625</xdr:colOff>
      <xdr:row>43</xdr:row>
      <xdr:rowOff>76200</xdr:rowOff>
    </xdr:from>
    <xdr:to>
      <xdr:col>106</xdr:col>
      <xdr:colOff>0</xdr:colOff>
      <xdr:row>44</xdr:row>
      <xdr:rowOff>28575</xdr:rowOff>
    </xdr:to>
    <xdr:sp macro="" textlink="">
      <xdr:nvSpPr>
        <xdr:cNvPr id="317100" name="Rectangle 28"/>
        <xdr:cNvSpPr>
          <a:spLocks noChangeArrowheads="1"/>
        </xdr:cNvSpPr>
      </xdr:nvSpPr>
      <xdr:spPr bwMode="auto">
        <a:xfrm>
          <a:off x="78181200" y="92487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1571625</xdr:colOff>
      <xdr:row>43</xdr:row>
      <xdr:rowOff>76200</xdr:rowOff>
    </xdr:from>
    <xdr:to>
      <xdr:col>106</xdr:col>
      <xdr:colOff>0</xdr:colOff>
      <xdr:row>44</xdr:row>
      <xdr:rowOff>28575</xdr:rowOff>
    </xdr:to>
    <xdr:sp macro="" textlink="">
      <xdr:nvSpPr>
        <xdr:cNvPr id="317101" name="Rectangle 28"/>
        <xdr:cNvSpPr>
          <a:spLocks noChangeArrowheads="1"/>
        </xdr:cNvSpPr>
      </xdr:nvSpPr>
      <xdr:spPr bwMode="auto">
        <a:xfrm>
          <a:off x="78181200" y="92487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1571625</xdr:colOff>
      <xdr:row>43</xdr:row>
      <xdr:rowOff>76200</xdr:rowOff>
    </xdr:from>
    <xdr:to>
      <xdr:col>106</xdr:col>
      <xdr:colOff>0</xdr:colOff>
      <xdr:row>44</xdr:row>
      <xdr:rowOff>28575</xdr:rowOff>
    </xdr:to>
    <xdr:sp macro="" textlink="">
      <xdr:nvSpPr>
        <xdr:cNvPr id="317102" name="Rectangle 28"/>
        <xdr:cNvSpPr>
          <a:spLocks noChangeArrowheads="1"/>
        </xdr:cNvSpPr>
      </xdr:nvSpPr>
      <xdr:spPr bwMode="auto">
        <a:xfrm>
          <a:off x="78181200" y="92487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1571625</xdr:colOff>
      <xdr:row>43</xdr:row>
      <xdr:rowOff>76200</xdr:rowOff>
    </xdr:from>
    <xdr:to>
      <xdr:col>106</xdr:col>
      <xdr:colOff>0</xdr:colOff>
      <xdr:row>44</xdr:row>
      <xdr:rowOff>28575</xdr:rowOff>
    </xdr:to>
    <xdr:sp macro="" textlink="">
      <xdr:nvSpPr>
        <xdr:cNvPr id="317103" name="Rectangle 28"/>
        <xdr:cNvSpPr>
          <a:spLocks noChangeArrowheads="1"/>
        </xdr:cNvSpPr>
      </xdr:nvSpPr>
      <xdr:spPr bwMode="auto">
        <a:xfrm>
          <a:off x="78181200" y="92487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1571625</xdr:colOff>
      <xdr:row>43</xdr:row>
      <xdr:rowOff>76200</xdr:rowOff>
    </xdr:from>
    <xdr:to>
      <xdr:col>106</xdr:col>
      <xdr:colOff>0</xdr:colOff>
      <xdr:row>44</xdr:row>
      <xdr:rowOff>28575</xdr:rowOff>
    </xdr:to>
    <xdr:sp macro="" textlink="">
      <xdr:nvSpPr>
        <xdr:cNvPr id="317104" name="Rectangle 28"/>
        <xdr:cNvSpPr>
          <a:spLocks noChangeArrowheads="1"/>
        </xdr:cNvSpPr>
      </xdr:nvSpPr>
      <xdr:spPr bwMode="auto">
        <a:xfrm>
          <a:off x="78181200" y="92487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1571625</xdr:colOff>
      <xdr:row>44</xdr:row>
      <xdr:rowOff>66675</xdr:rowOff>
    </xdr:from>
    <xdr:to>
      <xdr:col>106</xdr:col>
      <xdr:colOff>0</xdr:colOff>
      <xdr:row>45</xdr:row>
      <xdr:rowOff>9525</xdr:rowOff>
    </xdr:to>
    <xdr:sp macro="" textlink="">
      <xdr:nvSpPr>
        <xdr:cNvPr id="317105" name="Rectangle 28"/>
        <xdr:cNvSpPr>
          <a:spLocks noChangeArrowheads="1"/>
        </xdr:cNvSpPr>
      </xdr:nvSpPr>
      <xdr:spPr bwMode="auto">
        <a:xfrm>
          <a:off x="78181200" y="9439275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1571625</xdr:colOff>
      <xdr:row>44</xdr:row>
      <xdr:rowOff>66675</xdr:rowOff>
    </xdr:from>
    <xdr:to>
      <xdr:col>106</xdr:col>
      <xdr:colOff>0</xdr:colOff>
      <xdr:row>45</xdr:row>
      <xdr:rowOff>9525</xdr:rowOff>
    </xdr:to>
    <xdr:sp macro="" textlink="">
      <xdr:nvSpPr>
        <xdr:cNvPr id="317106" name="Rectangle 28"/>
        <xdr:cNvSpPr>
          <a:spLocks noChangeArrowheads="1"/>
        </xdr:cNvSpPr>
      </xdr:nvSpPr>
      <xdr:spPr bwMode="auto">
        <a:xfrm>
          <a:off x="78181200" y="9439275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1571625</xdr:colOff>
      <xdr:row>44</xdr:row>
      <xdr:rowOff>66675</xdr:rowOff>
    </xdr:from>
    <xdr:to>
      <xdr:col>106</xdr:col>
      <xdr:colOff>0</xdr:colOff>
      <xdr:row>45</xdr:row>
      <xdr:rowOff>9525</xdr:rowOff>
    </xdr:to>
    <xdr:sp macro="" textlink="">
      <xdr:nvSpPr>
        <xdr:cNvPr id="317107" name="Rectangle 28"/>
        <xdr:cNvSpPr>
          <a:spLocks noChangeArrowheads="1"/>
        </xdr:cNvSpPr>
      </xdr:nvSpPr>
      <xdr:spPr bwMode="auto">
        <a:xfrm>
          <a:off x="78181200" y="9439275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1571625</xdr:colOff>
      <xdr:row>44</xdr:row>
      <xdr:rowOff>66675</xdr:rowOff>
    </xdr:from>
    <xdr:to>
      <xdr:col>106</xdr:col>
      <xdr:colOff>0</xdr:colOff>
      <xdr:row>45</xdr:row>
      <xdr:rowOff>9525</xdr:rowOff>
    </xdr:to>
    <xdr:sp macro="" textlink="">
      <xdr:nvSpPr>
        <xdr:cNvPr id="317108" name="Rectangle 28"/>
        <xdr:cNvSpPr>
          <a:spLocks noChangeArrowheads="1"/>
        </xdr:cNvSpPr>
      </xdr:nvSpPr>
      <xdr:spPr bwMode="auto">
        <a:xfrm>
          <a:off x="78181200" y="9439275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1571625</xdr:colOff>
      <xdr:row>44</xdr:row>
      <xdr:rowOff>66675</xdr:rowOff>
    </xdr:from>
    <xdr:to>
      <xdr:col>106</xdr:col>
      <xdr:colOff>0</xdr:colOff>
      <xdr:row>45</xdr:row>
      <xdr:rowOff>9525</xdr:rowOff>
    </xdr:to>
    <xdr:sp macro="" textlink="">
      <xdr:nvSpPr>
        <xdr:cNvPr id="317109" name="Rectangle 28"/>
        <xdr:cNvSpPr>
          <a:spLocks noChangeArrowheads="1"/>
        </xdr:cNvSpPr>
      </xdr:nvSpPr>
      <xdr:spPr bwMode="auto">
        <a:xfrm>
          <a:off x="78181200" y="9439275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1571625</xdr:colOff>
      <xdr:row>44</xdr:row>
      <xdr:rowOff>66675</xdr:rowOff>
    </xdr:from>
    <xdr:to>
      <xdr:col>106</xdr:col>
      <xdr:colOff>0</xdr:colOff>
      <xdr:row>45</xdr:row>
      <xdr:rowOff>9525</xdr:rowOff>
    </xdr:to>
    <xdr:sp macro="" textlink="">
      <xdr:nvSpPr>
        <xdr:cNvPr id="317110" name="Rectangle 28"/>
        <xdr:cNvSpPr>
          <a:spLocks noChangeArrowheads="1"/>
        </xdr:cNvSpPr>
      </xdr:nvSpPr>
      <xdr:spPr bwMode="auto">
        <a:xfrm>
          <a:off x="78181200" y="9439275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1571625</xdr:colOff>
      <xdr:row>35</xdr:row>
      <xdr:rowOff>57150</xdr:rowOff>
    </xdr:from>
    <xdr:to>
      <xdr:col>106</xdr:col>
      <xdr:colOff>0</xdr:colOff>
      <xdr:row>35</xdr:row>
      <xdr:rowOff>200025</xdr:rowOff>
    </xdr:to>
    <xdr:sp macro="" textlink="">
      <xdr:nvSpPr>
        <xdr:cNvPr id="317111" name="Rectangle 28"/>
        <xdr:cNvSpPr>
          <a:spLocks noChangeArrowheads="1"/>
        </xdr:cNvSpPr>
      </xdr:nvSpPr>
      <xdr:spPr bwMode="auto">
        <a:xfrm>
          <a:off x="78181200" y="7629525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1571625</xdr:colOff>
      <xdr:row>35</xdr:row>
      <xdr:rowOff>57150</xdr:rowOff>
    </xdr:from>
    <xdr:to>
      <xdr:col>106</xdr:col>
      <xdr:colOff>0</xdr:colOff>
      <xdr:row>35</xdr:row>
      <xdr:rowOff>200025</xdr:rowOff>
    </xdr:to>
    <xdr:sp macro="" textlink="">
      <xdr:nvSpPr>
        <xdr:cNvPr id="317112" name="Rectangle 28"/>
        <xdr:cNvSpPr>
          <a:spLocks noChangeArrowheads="1"/>
        </xdr:cNvSpPr>
      </xdr:nvSpPr>
      <xdr:spPr bwMode="auto">
        <a:xfrm>
          <a:off x="78181200" y="7629525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1571625</xdr:colOff>
      <xdr:row>35</xdr:row>
      <xdr:rowOff>57150</xdr:rowOff>
    </xdr:from>
    <xdr:to>
      <xdr:col>106</xdr:col>
      <xdr:colOff>0</xdr:colOff>
      <xdr:row>35</xdr:row>
      <xdr:rowOff>200025</xdr:rowOff>
    </xdr:to>
    <xdr:sp macro="" textlink="">
      <xdr:nvSpPr>
        <xdr:cNvPr id="317113" name="Rectangle 28"/>
        <xdr:cNvSpPr>
          <a:spLocks noChangeArrowheads="1"/>
        </xdr:cNvSpPr>
      </xdr:nvSpPr>
      <xdr:spPr bwMode="auto">
        <a:xfrm>
          <a:off x="78181200" y="7629525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1571625</xdr:colOff>
      <xdr:row>35</xdr:row>
      <xdr:rowOff>57150</xdr:rowOff>
    </xdr:from>
    <xdr:to>
      <xdr:col>106</xdr:col>
      <xdr:colOff>0</xdr:colOff>
      <xdr:row>35</xdr:row>
      <xdr:rowOff>200025</xdr:rowOff>
    </xdr:to>
    <xdr:sp macro="" textlink="">
      <xdr:nvSpPr>
        <xdr:cNvPr id="317114" name="Rectangle 28"/>
        <xdr:cNvSpPr>
          <a:spLocks noChangeArrowheads="1"/>
        </xdr:cNvSpPr>
      </xdr:nvSpPr>
      <xdr:spPr bwMode="auto">
        <a:xfrm>
          <a:off x="78181200" y="7629525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1571625</xdr:colOff>
      <xdr:row>35</xdr:row>
      <xdr:rowOff>57150</xdr:rowOff>
    </xdr:from>
    <xdr:to>
      <xdr:col>106</xdr:col>
      <xdr:colOff>0</xdr:colOff>
      <xdr:row>35</xdr:row>
      <xdr:rowOff>200025</xdr:rowOff>
    </xdr:to>
    <xdr:sp macro="" textlink="">
      <xdr:nvSpPr>
        <xdr:cNvPr id="317115" name="Rectangle 28"/>
        <xdr:cNvSpPr>
          <a:spLocks noChangeArrowheads="1"/>
        </xdr:cNvSpPr>
      </xdr:nvSpPr>
      <xdr:spPr bwMode="auto">
        <a:xfrm>
          <a:off x="78181200" y="7629525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1571625</xdr:colOff>
      <xdr:row>35</xdr:row>
      <xdr:rowOff>57150</xdr:rowOff>
    </xdr:from>
    <xdr:to>
      <xdr:col>106</xdr:col>
      <xdr:colOff>0</xdr:colOff>
      <xdr:row>35</xdr:row>
      <xdr:rowOff>200025</xdr:rowOff>
    </xdr:to>
    <xdr:sp macro="" textlink="">
      <xdr:nvSpPr>
        <xdr:cNvPr id="317116" name="Rectangle 28"/>
        <xdr:cNvSpPr>
          <a:spLocks noChangeArrowheads="1"/>
        </xdr:cNvSpPr>
      </xdr:nvSpPr>
      <xdr:spPr bwMode="auto">
        <a:xfrm>
          <a:off x="78181200" y="7629525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1571625</xdr:colOff>
      <xdr:row>48</xdr:row>
      <xdr:rowOff>38100</xdr:rowOff>
    </xdr:from>
    <xdr:to>
      <xdr:col>106</xdr:col>
      <xdr:colOff>0</xdr:colOff>
      <xdr:row>48</xdr:row>
      <xdr:rowOff>190500</xdr:rowOff>
    </xdr:to>
    <xdr:sp macro="" textlink="">
      <xdr:nvSpPr>
        <xdr:cNvPr id="317117" name="Rectangle 28"/>
        <xdr:cNvSpPr>
          <a:spLocks noChangeArrowheads="1"/>
        </xdr:cNvSpPr>
      </xdr:nvSpPr>
      <xdr:spPr bwMode="auto">
        <a:xfrm>
          <a:off x="78181200" y="102108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1571625</xdr:colOff>
      <xdr:row>48</xdr:row>
      <xdr:rowOff>38100</xdr:rowOff>
    </xdr:from>
    <xdr:to>
      <xdr:col>106</xdr:col>
      <xdr:colOff>0</xdr:colOff>
      <xdr:row>48</xdr:row>
      <xdr:rowOff>190500</xdr:rowOff>
    </xdr:to>
    <xdr:sp macro="" textlink="">
      <xdr:nvSpPr>
        <xdr:cNvPr id="317118" name="Rectangle 28"/>
        <xdr:cNvSpPr>
          <a:spLocks noChangeArrowheads="1"/>
        </xdr:cNvSpPr>
      </xdr:nvSpPr>
      <xdr:spPr bwMode="auto">
        <a:xfrm>
          <a:off x="78181200" y="102108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1571625</xdr:colOff>
      <xdr:row>48</xdr:row>
      <xdr:rowOff>38100</xdr:rowOff>
    </xdr:from>
    <xdr:to>
      <xdr:col>106</xdr:col>
      <xdr:colOff>0</xdr:colOff>
      <xdr:row>48</xdr:row>
      <xdr:rowOff>190500</xdr:rowOff>
    </xdr:to>
    <xdr:sp macro="" textlink="">
      <xdr:nvSpPr>
        <xdr:cNvPr id="317119" name="Rectangle 28"/>
        <xdr:cNvSpPr>
          <a:spLocks noChangeArrowheads="1"/>
        </xdr:cNvSpPr>
      </xdr:nvSpPr>
      <xdr:spPr bwMode="auto">
        <a:xfrm>
          <a:off x="78181200" y="102108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1571625</xdr:colOff>
      <xdr:row>48</xdr:row>
      <xdr:rowOff>38100</xdr:rowOff>
    </xdr:from>
    <xdr:to>
      <xdr:col>106</xdr:col>
      <xdr:colOff>0</xdr:colOff>
      <xdr:row>48</xdr:row>
      <xdr:rowOff>190500</xdr:rowOff>
    </xdr:to>
    <xdr:sp macro="" textlink="">
      <xdr:nvSpPr>
        <xdr:cNvPr id="317120" name="Rectangle 28"/>
        <xdr:cNvSpPr>
          <a:spLocks noChangeArrowheads="1"/>
        </xdr:cNvSpPr>
      </xdr:nvSpPr>
      <xdr:spPr bwMode="auto">
        <a:xfrm>
          <a:off x="78181200" y="102108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1571625</xdr:colOff>
      <xdr:row>48</xdr:row>
      <xdr:rowOff>38100</xdr:rowOff>
    </xdr:from>
    <xdr:to>
      <xdr:col>106</xdr:col>
      <xdr:colOff>0</xdr:colOff>
      <xdr:row>48</xdr:row>
      <xdr:rowOff>190500</xdr:rowOff>
    </xdr:to>
    <xdr:sp macro="" textlink="">
      <xdr:nvSpPr>
        <xdr:cNvPr id="317121" name="Rectangle 28"/>
        <xdr:cNvSpPr>
          <a:spLocks noChangeArrowheads="1"/>
        </xdr:cNvSpPr>
      </xdr:nvSpPr>
      <xdr:spPr bwMode="auto">
        <a:xfrm>
          <a:off x="78181200" y="102108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1571625</xdr:colOff>
      <xdr:row>48</xdr:row>
      <xdr:rowOff>38100</xdr:rowOff>
    </xdr:from>
    <xdr:to>
      <xdr:col>106</xdr:col>
      <xdr:colOff>0</xdr:colOff>
      <xdr:row>48</xdr:row>
      <xdr:rowOff>190500</xdr:rowOff>
    </xdr:to>
    <xdr:sp macro="" textlink="">
      <xdr:nvSpPr>
        <xdr:cNvPr id="317122" name="Rectangle 28"/>
        <xdr:cNvSpPr>
          <a:spLocks noChangeArrowheads="1"/>
        </xdr:cNvSpPr>
      </xdr:nvSpPr>
      <xdr:spPr bwMode="auto">
        <a:xfrm>
          <a:off x="78181200" y="102108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1571625</xdr:colOff>
      <xdr:row>46</xdr:row>
      <xdr:rowOff>38100</xdr:rowOff>
    </xdr:from>
    <xdr:to>
      <xdr:col>106</xdr:col>
      <xdr:colOff>0</xdr:colOff>
      <xdr:row>46</xdr:row>
      <xdr:rowOff>190500</xdr:rowOff>
    </xdr:to>
    <xdr:sp macro="" textlink="">
      <xdr:nvSpPr>
        <xdr:cNvPr id="317123" name="Rectangle 28"/>
        <xdr:cNvSpPr>
          <a:spLocks noChangeArrowheads="1"/>
        </xdr:cNvSpPr>
      </xdr:nvSpPr>
      <xdr:spPr bwMode="auto">
        <a:xfrm>
          <a:off x="78181200" y="98107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1571625</xdr:colOff>
      <xdr:row>46</xdr:row>
      <xdr:rowOff>38100</xdr:rowOff>
    </xdr:from>
    <xdr:to>
      <xdr:col>106</xdr:col>
      <xdr:colOff>0</xdr:colOff>
      <xdr:row>46</xdr:row>
      <xdr:rowOff>190500</xdr:rowOff>
    </xdr:to>
    <xdr:sp macro="" textlink="">
      <xdr:nvSpPr>
        <xdr:cNvPr id="317124" name="Rectangle 28"/>
        <xdr:cNvSpPr>
          <a:spLocks noChangeArrowheads="1"/>
        </xdr:cNvSpPr>
      </xdr:nvSpPr>
      <xdr:spPr bwMode="auto">
        <a:xfrm>
          <a:off x="78181200" y="98107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1571625</xdr:colOff>
      <xdr:row>46</xdr:row>
      <xdr:rowOff>38100</xdr:rowOff>
    </xdr:from>
    <xdr:to>
      <xdr:col>106</xdr:col>
      <xdr:colOff>0</xdr:colOff>
      <xdr:row>46</xdr:row>
      <xdr:rowOff>190500</xdr:rowOff>
    </xdr:to>
    <xdr:sp macro="" textlink="">
      <xdr:nvSpPr>
        <xdr:cNvPr id="317125" name="Rectangle 28"/>
        <xdr:cNvSpPr>
          <a:spLocks noChangeArrowheads="1"/>
        </xdr:cNvSpPr>
      </xdr:nvSpPr>
      <xdr:spPr bwMode="auto">
        <a:xfrm>
          <a:off x="78181200" y="98107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1571625</xdr:colOff>
      <xdr:row>46</xdr:row>
      <xdr:rowOff>38100</xdr:rowOff>
    </xdr:from>
    <xdr:to>
      <xdr:col>106</xdr:col>
      <xdr:colOff>0</xdr:colOff>
      <xdr:row>46</xdr:row>
      <xdr:rowOff>190500</xdr:rowOff>
    </xdr:to>
    <xdr:sp macro="" textlink="">
      <xdr:nvSpPr>
        <xdr:cNvPr id="317126" name="Rectangle 28"/>
        <xdr:cNvSpPr>
          <a:spLocks noChangeArrowheads="1"/>
        </xdr:cNvSpPr>
      </xdr:nvSpPr>
      <xdr:spPr bwMode="auto">
        <a:xfrm>
          <a:off x="78181200" y="98107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1571625</xdr:colOff>
      <xdr:row>46</xdr:row>
      <xdr:rowOff>38100</xdr:rowOff>
    </xdr:from>
    <xdr:to>
      <xdr:col>106</xdr:col>
      <xdr:colOff>0</xdr:colOff>
      <xdr:row>46</xdr:row>
      <xdr:rowOff>190500</xdr:rowOff>
    </xdr:to>
    <xdr:sp macro="" textlink="">
      <xdr:nvSpPr>
        <xdr:cNvPr id="317127" name="Rectangle 28"/>
        <xdr:cNvSpPr>
          <a:spLocks noChangeArrowheads="1"/>
        </xdr:cNvSpPr>
      </xdr:nvSpPr>
      <xdr:spPr bwMode="auto">
        <a:xfrm>
          <a:off x="78181200" y="98107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1571625</xdr:colOff>
      <xdr:row>46</xdr:row>
      <xdr:rowOff>38100</xdr:rowOff>
    </xdr:from>
    <xdr:to>
      <xdr:col>106</xdr:col>
      <xdr:colOff>0</xdr:colOff>
      <xdr:row>46</xdr:row>
      <xdr:rowOff>190500</xdr:rowOff>
    </xdr:to>
    <xdr:sp macro="" textlink="">
      <xdr:nvSpPr>
        <xdr:cNvPr id="317128" name="Rectangle 28"/>
        <xdr:cNvSpPr>
          <a:spLocks noChangeArrowheads="1"/>
        </xdr:cNvSpPr>
      </xdr:nvSpPr>
      <xdr:spPr bwMode="auto">
        <a:xfrm>
          <a:off x="78181200" y="98107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1571625</xdr:colOff>
      <xdr:row>29</xdr:row>
      <xdr:rowOff>28575</xdr:rowOff>
    </xdr:from>
    <xdr:to>
      <xdr:col>106</xdr:col>
      <xdr:colOff>0</xdr:colOff>
      <xdr:row>29</xdr:row>
      <xdr:rowOff>190500</xdr:rowOff>
    </xdr:to>
    <xdr:sp macro="" textlink="">
      <xdr:nvSpPr>
        <xdr:cNvPr id="317129" name="Rectangle 28"/>
        <xdr:cNvSpPr>
          <a:spLocks noChangeArrowheads="1"/>
        </xdr:cNvSpPr>
      </xdr:nvSpPr>
      <xdr:spPr bwMode="auto">
        <a:xfrm>
          <a:off x="78181200" y="640080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1571625</xdr:colOff>
      <xdr:row>29</xdr:row>
      <xdr:rowOff>28575</xdr:rowOff>
    </xdr:from>
    <xdr:to>
      <xdr:col>106</xdr:col>
      <xdr:colOff>0</xdr:colOff>
      <xdr:row>29</xdr:row>
      <xdr:rowOff>190500</xdr:rowOff>
    </xdr:to>
    <xdr:sp macro="" textlink="">
      <xdr:nvSpPr>
        <xdr:cNvPr id="317130" name="Rectangle 28"/>
        <xdr:cNvSpPr>
          <a:spLocks noChangeArrowheads="1"/>
        </xdr:cNvSpPr>
      </xdr:nvSpPr>
      <xdr:spPr bwMode="auto">
        <a:xfrm>
          <a:off x="78181200" y="640080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1571625</xdr:colOff>
      <xdr:row>29</xdr:row>
      <xdr:rowOff>28575</xdr:rowOff>
    </xdr:from>
    <xdr:to>
      <xdr:col>106</xdr:col>
      <xdr:colOff>0</xdr:colOff>
      <xdr:row>29</xdr:row>
      <xdr:rowOff>190500</xdr:rowOff>
    </xdr:to>
    <xdr:sp macro="" textlink="">
      <xdr:nvSpPr>
        <xdr:cNvPr id="317131" name="Rectangle 28"/>
        <xdr:cNvSpPr>
          <a:spLocks noChangeArrowheads="1"/>
        </xdr:cNvSpPr>
      </xdr:nvSpPr>
      <xdr:spPr bwMode="auto">
        <a:xfrm>
          <a:off x="78181200" y="640080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1571625</xdr:colOff>
      <xdr:row>29</xdr:row>
      <xdr:rowOff>28575</xdr:rowOff>
    </xdr:from>
    <xdr:to>
      <xdr:col>106</xdr:col>
      <xdr:colOff>0</xdr:colOff>
      <xdr:row>29</xdr:row>
      <xdr:rowOff>190500</xdr:rowOff>
    </xdr:to>
    <xdr:sp macro="" textlink="">
      <xdr:nvSpPr>
        <xdr:cNvPr id="317132" name="Rectangle 28"/>
        <xdr:cNvSpPr>
          <a:spLocks noChangeArrowheads="1"/>
        </xdr:cNvSpPr>
      </xdr:nvSpPr>
      <xdr:spPr bwMode="auto">
        <a:xfrm>
          <a:off x="78181200" y="640080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1571625</xdr:colOff>
      <xdr:row>29</xdr:row>
      <xdr:rowOff>28575</xdr:rowOff>
    </xdr:from>
    <xdr:to>
      <xdr:col>106</xdr:col>
      <xdr:colOff>0</xdr:colOff>
      <xdr:row>29</xdr:row>
      <xdr:rowOff>190500</xdr:rowOff>
    </xdr:to>
    <xdr:sp macro="" textlink="">
      <xdr:nvSpPr>
        <xdr:cNvPr id="317133" name="Rectangle 28"/>
        <xdr:cNvSpPr>
          <a:spLocks noChangeArrowheads="1"/>
        </xdr:cNvSpPr>
      </xdr:nvSpPr>
      <xdr:spPr bwMode="auto">
        <a:xfrm>
          <a:off x="78181200" y="640080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1571625</xdr:colOff>
      <xdr:row>29</xdr:row>
      <xdr:rowOff>28575</xdr:rowOff>
    </xdr:from>
    <xdr:to>
      <xdr:col>106</xdr:col>
      <xdr:colOff>0</xdr:colOff>
      <xdr:row>29</xdr:row>
      <xdr:rowOff>190500</xdr:rowOff>
    </xdr:to>
    <xdr:sp macro="" textlink="">
      <xdr:nvSpPr>
        <xdr:cNvPr id="317134" name="Rectangle 28"/>
        <xdr:cNvSpPr>
          <a:spLocks noChangeArrowheads="1"/>
        </xdr:cNvSpPr>
      </xdr:nvSpPr>
      <xdr:spPr bwMode="auto">
        <a:xfrm>
          <a:off x="78181200" y="6400800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1571625</xdr:colOff>
      <xdr:row>39</xdr:row>
      <xdr:rowOff>9525</xdr:rowOff>
    </xdr:from>
    <xdr:to>
      <xdr:col>106</xdr:col>
      <xdr:colOff>0</xdr:colOff>
      <xdr:row>39</xdr:row>
      <xdr:rowOff>161925</xdr:rowOff>
    </xdr:to>
    <xdr:sp macro="" textlink="">
      <xdr:nvSpPr>
        <xdr:cNvPr id="317135" name="Rectangle 28"/>
        <xdr:cNvSpPr>
          <a:spLocks noChangeArrowheads="1"/>
        </xdr:cNvSpPr>
      </xdr:nvSpPr>
      <xdr:spPr bwMode="auto">
        <a:xfrm>
          <a:off x="78181200" y="83820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1571625</xdr:colOff>
      <xdr:row>39</xdr:row>
      <xdr:rowOff>9525</xdr:rowOff>
    </xdr:from>
    <xdr:to>
      <xdr:col>106</xdr:col>
      <xdr:colOff>0</xdr:colOff>
      <xdr:row>39</xdr:row>
      <xdr:rowOff>161925</xdr:rowOff>
    </xdr:to>
    <xdr:sp macro="" textlink="">
      <xdr:nvSpPr>
        <xdr:cNvPr id="317136" name="Rectangle 28"/>
        <xdr:cNvSpPr>
          <a:spLocks noChangeArrowheads="1"/>
        </xdr:cNvSpPr>
      </xdr:nvSpPr>
      <xdr:spPr bwMode="auto">
        <a:xfrm>
          <a:off x="78181200" y="83820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1571625</xdr:colOff>
      <xdr:row>39</xdr:row>
      <xdr:rowOff>9525</xdr:rowOff>
    </xdr:from>
    <xdr:to>
      <xdr:col>106</xdr:col>
      <xdr:colOff>0</xdr:colOff>
      <xdr:row>39</xdr:row>
      <xdr:rowOff>161925</xdr:rowOff>
    </xdr:to>
    <xdr:sp macro="" textlink="">
      <xdr:nvSpPr>
        <xdr:cNvPr id="317137" name="Rectangle 28"/>
        <xdr:cNvSpPr>
          <a:spLocks noChangeArrowheads="1"/>
        </xdr:cNvSpPr>
      </xdr:nvSpPr>
      <xdr:spPr bwMode="auto">
        <a:xfrm>
          <a:off x="78181200" y="83820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1571625</xdr:colOff>
      <xdr:row>39</xdr:row>
      <xdr:rowOff>9525</xdr:rowOff>
    </xdr:from>
    <xdr:to>
      <xdr:col>106</xdr:col>
      <xdr:colOff>0</xdr:colOff>
      <xdr:row>39</xdr:row>
      <xdr:rowOff>161925</xdr:rowOff>
    </xdr:to>
    <xdr:sp macro="" textlink="">
      <xdr:nvSpPr>
        <xdr:cNvPr id="317138" name="Rectangle 28"/>
        <xdr:cNvSpPr>
          <a:spLocks noChangeArrowheads="1"/>
        </xdr:cNvSpPr>
      </xdr:nvSpPr>
      <xdr:spPr bwMode="auto">
        <a:xfrm>
          <a:off x="78181200" y="83820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1571625</xdr:colOff>
      <xdr:row>39</xdr:row>
      <xdr:rowOff>9525</xdr:rowOff>
    </xdr:from>
    <xdr:to>
      <xdr:col>106</xdr:col>
      <xdr:colOff>0</xdr:colOff>
      <xdr:row>39</xdr:row>
      <xdr:rowOff>161925</xdr:rowOff>
    </xdr:to>
    <xdr:sp macro="" textlink="">
      <xdr:nvSpPr>
        <xdr:cNvPr id="317139" name="Rectangle 28"/>
        <xdr:cNvSpPr>
          <a:spLocks noChangeArrowheads="1"/>
        </xdr:cNvSpPr>
      </xdr:nvSpPr>
      <xdr:spPr bwMode="auto">
        <a:xfrm>
          <a:off x="78181200" y="83820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1571625</xdr:colOff>
      <xdr:row>39</xdr:row>
      <xdr:rowOff>9525</xdr:rowOff>
    </xdr:from>
    <xdr:to>
      <xdr:col>106</xdr:col>
      <xdr:colOff>0</xdr:colOff>
      <xdr:row>39</xdr:row>
      <xdr:rowOff>161925</xdr:rowOff>
    </xdr:to>
    <xdr:sp macro="" textlink="">
      <xdr:nvSpPr>
        <xdr:cNvPr id="317140" name="Rectangle 28"/>
        <xdr:cNvSpPr>
          <a:spLocks noChangeArrowheads="1"/>
        </xdr:cNvSpPr>
      </xdr:nvSpPr>
      <xdr:spPr bwMode="auto">
        <a:xfrm>
          <a:off x="78181200" y="83820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1571625</xdr:colOff>
      <xdr:row>28</xdr:row>
      <xdr:rowOff>0</xdr:rowOff>
    </xdr:from>
    <xdr:to>
      <xdr:col>106</xdr:col>
      <xdr:colOff>0</xdr:colOff>
      <xdr:row>28</xdr:row>
      <xdr:rowOff>142875</xdr:rowOff>
    </xdr:to>
    <xdr:sp macro="" textlink="">
      <xdr:nvSpPr>
        <xdr:cNvPr id="317141" name="Rectangle 28"/>
        <xdr:cNvSpPr>
          <a:spLocks noChangeArrowheads="1"/>
        </xdr:cNvSpPr>
      </xdr:nvSpPr>
      <xdr:spPr bwMode="auto">
        <a:xfrm>
          <a:off x="78181200" y="61722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1571625</xdr:colOff>
      <xdr:row>28</xdr:row>
      <xdr:rowOff>0</xdr:rowOff>
    </xdr:from>
    <xdr:to>
      <xdr:col>106</xdr:col>
      <xdr:colOff>0</xdr:colOff>
      <xdr:row>28</xdr:row>
      <xdr:rowOff>142875</xdr:rowOff>
    </xdr:to>
    <xdr:sp macro="" textlink="">
      <xdr:nvSpPr>
        <xdr:cNvPr id="317142" name="Rectangle 28"/>
        <xdr:cNvSpPr>
          <a:spLocks noChangeArrowheads="1"/>
        </xdr:cNvSpPr>
      </xdr:nvSpPr>
      <xdr:spPr bwMode="auto">
        <a:xfrm>
          <a:off x="78181200" y="61722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1571625</xdr:colOff>
      <xdr:row>28</xdr:row>
      <xdr:rowOff>0</xdr:rowOff>
    </xdr:from>
    <xdr:to>
      <xdr:col>106</xdr:col>
      <xdr:colOff>0</xdr:colOff>
      <xdr:row>28</xdr:row>
      <xdr:rowOff>142875</xdr:rowOff>
    </xdr:to>
    <xdr:sp macro="" textlink="">
      <xdr:nvSpPr>
        <xdr:cNvPr id="317143" name="Rectangle 28"/>
        <xdr:cNvSpPr>
          <a:spLocks noChangeArrowheads="1"/>
        </xdr:cNvSpPr>
      </xdr:nvSpPr>
      <xdr:spPr bwMode="auto">
        <a:xfrm>
          <a:off x="78181200" y="61722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1571625</xdr:colOff>
      <xdr:row>28</xdr:row>
      <xdr:rowOff>0</xdr:rowOff>
    </xdr:from>
    <xdr:to>
      <xdr:col>106</xdr:col>
      <xdr:colOff>0</xdr:colOff>
      <xdr:row>28</xdr:row>
      <xdr:rowOff>142875</xdr:rowOff>
    </xdr:to>
    <xdr:sp macro="" textlink="">
      <xdr:nvSpPr>
        <xdr:cNvPr id="317144" name="Rectangle 28"/>
        <xdr:cNvSpPr>
          <a:spLocks noChangeArrowheads="1"/>
        </xdr:cNvSpPr>
      </xdr:nvSpPr>
      <xdr:spPr bwMode="auto">
        <a:xfrm>
          <a:off x="78181200" y="61722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1571625</xdr:colOff>
      <xdr:row>28</xdr:row>
      <xdr:rowOff>0</xdr:rowOff>
    </xdr:from>
    <xdr:to>
      <xdr:col>106</xdr:col>
      <xdr:colOff>0</xdr:colOff>
      <xdr:row>28</xdr:row>
      <xdr:rowOff>142875</xdr:rowOff>
    </xdr:to>
    <xdr:sp macro="" textlink="">
      <xdr:nvSpPr>
        <xdr:cNvPr id="317145" name="Rectangle 28"/>
        <xdr:cNvSpPr>
          <a:spLocks noChangeArrowheads="1"/>
        </xdr:cNvSpPr>
      </xdr:nvSpPr>
      <xdr:spPr bwMode="auto">
        <a:xfrm>
          <a:off x="78181200" y="61722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1571625</xdr:colOff>
      <xdr:row>28</xdr:row>
      <xdr:rowOff>0</xdr:rowOff>
    </xdr:from>
    <xdr:to>
      <xdr:col>106</xdr:col>
      <xdr:colOff>0</xdr:colOff>
      <xdr:row>28</xdr:row>
      <xdr:rowOff>142875</xdr:rowOff>
    </xdr:to>
    <xdr:sp macro="" textlink="">
      <xdr:nvSpPr>
        <xdr:cNvPr id="317146" name="Rectangle 28"/>
        <xdr:cNvSpPr>
          <a:spLocks noChangeArrowheads="1"/>
        </xdr:cNvSpPr>
      </xdr:nvSpPr>
      <xdr:spPr bwMode="auto">
        <a:xfrm>
          <a:off x="78181200" y="6172200"/>
          <a:ext cx="9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111</xdr:col>
      <xdr:colOff>0</xdr:colOff>
      <xdr:row>3</xdr:row>
      <xdr:rowOff>0</xdr:rowOff>
    </xdr:from>
    <xdr:to>
      <xdr:col>111</xdr:col>
      <xdr:colOff>190500</xdr:colOff>
      <xdr:row>7</xdr:row>
      <xdr:rowOff>123825</xdr:rowOff>
    </xdr:to>
    <xdr:sp macro="" textlink="">
      <xdr:nvSpPr>
        <xdr:cNvPr id="317147" name="Obdélník 2332"/>
        <xdr:cNvSpPr>
          <a:spLocks noChangeArrowheads="1"/>
        </xdr:cNvSpPr>
      </xdr:nvSpPr>
      <xdr:spPr bwMode="auto">
        <a:xfrm>
          <a:off x="81162525" y="1171575"/>
          <a:ext cx="190500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111</xdr:col>
      <xdr:colOff>0</xdr:colOff>
      <xdr:row>3</xdr:row>
      <xdr:rowOff>0</xdr:rowOff>
    </xdr:from>
    <xdr:to>
      <xdr:col>111</xdr:col>
      <xdr:colOff>190500</xdr:colOff>
      <xdr:row>7</xdr:row>
      <xdr:rowOff>123825</xdr:rowOff>
    </xdr:to>
    <xdr:sp macro="" textlink="">
      <xdr:nvSpPr>
        <xdr:cNvPr id="317148" name="Obdélník 2371"/>
        <xdr:cNvSpPr>
          <a:spLocks noChangeArrowheads="1"/>
        </xdr:cNvSpPr>
      </xdr:nvSpPr>
      <xdr:spPr bwMode="auto">
        <a:xfrm>
          <a:off x="81162525" y="1171575"/>
          <a:ext cx="190500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111</xdr:col>
      <xdr:colOff>0</xdr:colOff>
      <xdr:row>3</xdr:row>
      <xdr:rowOff>0</xdr:rowOff>
    </xdr:from>
    <xdr:to>
      <xdr:col>111</xdr:col>
      <xdr:colOff>190500</xdr:colOff>
      <xdr:row>7</xdr:row>
      <xdr:rowOff>123825</xdr:rowOff>
    </xdr:to>
    <xdr:sp macro="" textlink="">
      <xdr:nvSpPr>
        <xdr:cNvPr id="317149" name="Obdélník 2530"/>
        <xdr:cNvSpPr>
          <a:spLocks noChangeArrowheads="1"/>
        </xdr:cNvSpPr>
      </xdr:nvSpPr>
      <xdr:spPr bwMode="auto">
        <a:xfrm>
          <a:off x="81162525" y="1171575"/>
          <a:ext cx="190500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111</xdr:col>
      <xdr:colOff>533400</xdr:colOff>
      <xdr:row>3</xdr:row>
      <xdr:rowOff>0</xdr:rowOff>
    </xdr:from>
    <xdr:to>
      <xdr:col>111</xdr:col>
      <xdr:colOff>723900</xdr:colOff>
      <xdr:row>7</xdr:row>
      <xdr:rowOff>123825</xdr:rowOff>
    </xdr:to>
    <xdr:sp macro="" textlink="">
      <xdr:nvSpPr>
        <xdr:cNvPr id="317150" name="Obdélník 2569"/>
        <xdr:cNvSpPr>
          <a:spLocks noChangeArrowheads="1"/>
        </xdr:cNvSpPr>
      </xdr:nvSpPr>
      <xdr:spPr bwMode="auto">
        <a:xfrm>
          <a:off x="81695925" y="1171575"/>
          <a:ext cx="190500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571500</xdr:colOff>
      <xdr:row>19</xdr:row>
      <xdr:rowOff>41275</xdr:rowOff>
    </xdr:from>
    <xdr:to>
      <xdr:col>15</xdr:col>
      <xdr:colOff>1092257</xdr:colOff>
      <xdr:row>19</xdr:row>
      <xdr:rowOff>180975</xdr:rowOff>
    </xdr:to>
    <xdr:sp macro="" textlink="">
      <xdr:nvSpPr>
        <xdr:cNvPr id="1797" name="Šipka doleva 1796"/>
        <xdr:cNvSpPr/>
      </xdr:nvSpPr>
      <xdr:spPr>
        <a:xfrm>
          <a:off x="11087100" y="4473575"/>
          <a:ext cx="520700" cy="139700"/>
        </a:xfrm>
        <a:prstGeom prst="leftArrow">
          <a:avLst/>
        </a:prstGeom>
        <a:solidFill>
          <a:srgbClr val="FF0000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cs-CZ"/>
        </a:p>
      </xdr:txBody>
    </xdr:sp>
    <xdr:clientData/>
  </xdr:twoCellAnchor>
  <xdr:twoCellAnchor>
    <xdr:from>
      <xdr:col>180</xdr:col>
      <xdr:colOff>149225</xdr:colOff>
      <xdr:row>0</xdr:row>
      <xdr:rowOff>88900</xdr:rowOff>
    </xdr:from>
    <xdr:to>
      <xdr:col>180</xdr:col>
      <xdr:colOff>665047</xdr:colOff>
      <xdr:row>0</xdr:row>
      <xdr:rowOff>228600</xdr:rowOff>
    </xdr:to>
    <xdr:sp macro="" textlink="">
      <xdr:nvSpPr>
        <xdr:cNvPr id="1798" name="Šipka doleva 1797"/>
        <xdr:cNvSpPr/>
      </xdr:nvSpPr>
      <xdr:spPr>
        <a:xfrm>
          <a:off x="129863850" y="88900"/>
          <a:ext cx="520700" cy="139700"/>
        </a:xfrm>
        <a:prstGeom prst="leftArrow">
          <a:avLst/>
        </a:prstGeom>
        <a:solidFill>
          <a:srgbClr val="FF00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cs-CZ"/>
        </a:p>
      </xdr:txBody>
    </xdr:sp>
    <xdr:clientData/>
  </xdr:twoCellAnchor>
  <xdr:twoCellAnchor>
    <xdr:from>
      <xdr:col>15</xdr:col>
      <xdr:colOff>587375</xdr:colOff>
      <xdr:row>7</xdr:row>
      <xdr:rowOff>63500</xdr:rowOff>
    </xdr:from>
    <xdr:to>
      <xdr:col>15</xdr:col>
      <xdr:colOff>1103419</xdr:colOff>
      <xdr:row>8</xdr:row>
      <xdr:rowOff>5292</xdr:rowOff>
    </xdr:to>
    <xdr:sp macro="" textlink="">
      <xdr:nvSpPr>
        <xdr:cNvPr id="1799" name="Šipka doleva 1798"/>
        <xdr:cNvSpPr/>
      </xdr:nvSpPr>
      <xdr:spPr>
        <a:xfrm>
          <a:off x="11099800" y="2044700"/>
          <a:ext cx="520700" cy="139700"/>
        </a:xfrm>
        <a:prstGeom prst="lef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cs-CZ"/>
        </a:p>
      </xdr:txBody>
    </xdr:sp>
    <xdr:clientData/>
  </xdr:twoCellAnchor>
  <xdr:twoCellAnchor editAs="oneCell">
    <xdr:from>
      <xdr:col>1</xdr:col>
      <xdr:colOff>352425</xdr:colOff>
      <xdr:row>4</xdr:row>
      <xdr:rowOff>0</xdr:rowOff>
    </xdr:from>
    <xdr:to>
      <xdr:col>1</xdr:col>
      <xdr:colOff>371475</xdr:colOff>
      <xdr:row>4</xdr:row>
      <xdr:rowOff>142875</xdr:rowOff>
    </xdr:to>
    <xdr:sp macro="" textlink="">
      <xdr:nvSpPr>
        <xdr:cNvPr id="317154" name="Rectangle 27"/>
        <xdr:cNvSpPr>
          <a:spLocks noChangeArrowheads="1"/>
        </xdr:cNvSpPr>
      </xdr:nvSpPr>
      <xdr:spPr bwMode="auto">
        <a:xfrm>
          <a:off x="514350" y="1371600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352425</xdr:colOff>
      <xdr:row>4</xdr:row>
      <xdr:rowOff>0</xdr:rowOff>
    </xdr:from>
    <xdr:to>
      <xdr:col>1</xdr:col>
      <xdr:colOff>371475</xdr:colOff>
      <xdr:row>4</xdr:row>
      <xdr:rowOff>142875</xdr:rowOff>
    </xdr:to>
    <xdr:sp macro="" textlink="">
      <xdr:nvSpPr>
        <xdr:cNvPr id="317155" name="Rectangle 28"/>
        <xdr:cNvSpPr>
          <a:spLocks noChangeArrowheads="1"/>
        </xdr:cNvSpPr>
      </xdr:nvSpPr>
      <xdr:spPr bwMode="auto">
        <a:xfrm>
          <a:off x="514350" y="1371600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352425</xdr:colOff>
      <xdr:row>3</xdr:row>
      <xdr:rowOff>0</xdr:rowOff>
    </xdr:from>
    <xdr:to>
      <xdr:col>1</xdr:col>
      <xdr:colOff>371475</xdr:colOff>
      <xdr:row>3</xdr:row>
      <xdr:rowOff>142875</xdr:rowOff>
    </xdr:to>
    <xdr:sp macro="" textlink="">
      <xdr:nvSpPr>
        <xdr:cNvPr id="317156" name="Rectangle 28"/>
        <xdr:cNvSpPr>
          <a:spLocks noChangeArrowheads="1"/>
        </xdr:cNvSpPr>
      </xdr:nvSpPr>
      <xdr:spPr bwMode="auto">
        <a:xfrm>
          <a:off x="514350" y="1171575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352425</xdr:colOff>
      <xdr:row>3</xdr:row>
      <xdr:rowOff>0</xdr:rowOff>
    </xdr:from>
    <xdr:to>
      <xdr:col>1</xdr:col>
      <xdr:colOff>371475</xdr:colOff>
      <xdr:row>3</xdr:row>
      <xdr:rowOff>142875</xdr:rowOff>
    </xdr:to>
    <xdr:sp macro="" textlink="">
      <xdr:nvSpPr>
        <xdr:cNvPr id="317157" name="Rectangle 28"/>
        <xdr:cNvSpPr>
          <a:spLocks noChangeArrowheads="1"/>
        </xdr:cNvSpPr>
      </xdr:nvSpPr>
      <xdr:spPr bwMode="auto">
        <a:xfrm>
          <a:off x="514350" y="1171575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352425</xdr:colOff>
      <xdr:row>3</xdr:row>
      <xdr:rowOff>0</xdr:rowOff>
    </xdr:from>
    <xdr:to>
      <xdr:col>1</xdr:col>
      <xdr:colOff>371475</xdr:colOff>
      <xdr:row>3</xdr:row>
      <xdr:rowOff>142875</xdr:rowOff>
    </xdr:to>
    <xdr:sp macro="" textlink="">
      <xdr:nvSpPr>
        <xdr:cNvPr id="317158" name="Rectangle 28"/>
        <xdr:cNvSpPr>
          <a:spLocks noChangeArrowheads="1"/>
        </xdr:cNvSpPr>
      </xdr:nvSpPr>
      <xdr:spPr bwMode="auto">
        <a:xfrm>
          <a:off x="514350" y="1171575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352425</xdr:colOff>
      <xdr:row>3</xdr:row>
      <xdr:rowOff>0</xdr:rowOff>
    </xdr:from>
    <xdr:to>
      <xdr:col>1</xdr:col>
      <xdr:colOff>371475</xdr:colOff>
      <xdr:row>3</xdr:row>
      <xdr:rowOff>142875</xdr:rowOff>
    </xdr:to>
    <xdr:sp macro="" textlink="">
      <xdr:nvSpPr>
        <xdr:cNvPr id="317159" name="Rectangle 28"/>
        <xdr:cNvSpPr>
          <a:spLocks noChangeArrowheads="1"/>
        </xdr:cNvSpPr>
      </xdr:nvSpPr>
      <xdr:spPr bwMode="auto">
        <a:xfrm>
          <a:off x="514350" y="1171575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3</xdr:row>
      <xdr:rowOff>0</xdr:rowOff>
    </xdr:from>
    <xdr:to>
      <xdr:col>2</xdr:col>
      <xdr:colOff>266700</xdr:colOff>
      <xdr:row>3</xdr:row>
      <xdr:rowOff>142875</xdr:rowOff>
    </xdr:to>
    <xdr:sp macro="" textlink="">
      <xdr:nvSpPr>
        <xdr:cNvPr id="317160" name="Rectangle 27"/>
        <xdr:cNvSpPr>
          <a:spLocks noChangeArrowheads="1"/>
        </xdr:cNvSpPr>
      </xdr:nvSpPr>
      <xdr:spPr bwMode="auto">
        <a:xfrm>
          <a:off x="1990725" y="1171575"/>
          <a:ext cx="19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12700</xdr:colOff>
      <xdr:row>11</xdr:row>
      <xdr:rowOff>165100</xdr:rowOff>
    </xdr:from>
    <xdr:to>
      <xdr:col>7</xdr:col>
      <xdr:colOff>187455</xdr:colOff>
      <xdr:row>14</xdr:row>
      <xdr:rowOff>25400</xdr:rowOff>
    </xdr:to>
    <xdr:sp macro="" textlink="">
      <xdr:nvSpPr>
        <xdr:cNvPr id="299395" name="Zaoblený obdélník 203"/>
        <xdr:cNvSpPr>
          <a:spLocks noChangeArrowheads="1"/>
        </xdr:cNvSpPr>
      </xdr:nvSpPr>
      <xdr:spPr bwMode="auto">
        <a:xfrm>
          <a:off x="3378200" y="2260600"/>
          <a:ext cx="1549400" cy="431800"/>
        </a:xfrm>
        <a:prstGeom prst="roundRect">
          <a:avLst>
            <a:gd name="adj" fmla="val 16667"/>
          </a:avLst>
        </a:prstGeom>
        <a:blipFill dpi="0" rotWithShape="1">
          <a:blip xmlns:r="http://schemas.openxmlformats.org/officeDocument/2006/relationships" r:embed="rId1" cstate="print"/>
          <a:srcRect/>
          <a:tile tx="0" ty="0" sx="100000" sy="100000" flip="none" algn="tl"/>
        </a:blipFill>
        <a:ln w="25400">
          <a:solidFill>
            <a:srgbClr val="4F81BD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n-US" sz="1400" b="1" i="0" u="none" strike="noStrike" baseline="0">
              <a:solidFill>
                <a:srgbClr val="DD0806"/>
              </a:solidFill>
              <a:latin typeface="Calibri"/>
              <a:ea typeface="Calibri"/>
              <a:cs typeface="Calibri"/>
            </a:rPr>
            <a:t>Klikni na garáž</a:t>
          </a:r>
        </a:p>
      </xdr:txBody>
    </xdr:sp>
    <xdr:clientData/>
  </xdr:twoCellAnchor>
  <xdr:twoCellAnchor editAs="oneCell">
    <xdr:from>
      <xdr:col>22</xdr:col>
      <xdr:colOff>152400</xdr:colOff>
      <xdr:row>26</xdr:row>
      <xdr:rowOff>28575</xdr:rowOff>
    </xdr:from>
    <xdr:to>
      <xdr:col>22</xdr:col>
      <xdr:colOff>342900</xdr:colOff>
      <xdr:row>31</xdr:row>
      <xdr:rowOff>9525</xdr:rowOff>
    </xdr:to>
    <xdr:sp macro="" textlink="">
      <xdr:nvSpPr>
        <xdr:cNvPr id="299570" name="Obdélník 1"/>
        <xdr:cNvSpPr>
          <a:spLocks noChangeArrowheads="1"/>
        </xdr:cNvSpPr>
      </xdr:nvSpPr>
      <xdr:spPr bwMode="auto">
        <a:xfrm>
          <a:off x="17316450" y="5057775"/>
          <a:ext cx="190500" cy="933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247650</xdr:colOff>
      <xdr:row>27</xdr:row>
      <xdr:rowOff>76200</xdr:rowOff>
    </xdr:from>
    <xdr:to>
      <xdr:col>15</xdr:col>
      <xdr:colOff>266700</xdr:colOff>
      <xdr:row>28</xdr:row>
      <xdr:rowOff>38100</xdr:rowOff>
    </xdr:to>
    <xdr:sp macro="" textlink="">
      <xdr:nvSpPr>
        <xdr:cNvPr id="299571" name="Rectangle 28"/>
        <xdr:cNvSpPr>
          <a:spLocks noChangeArrowheads="1"/>
        </xdr:cNvSpPr>
      </xdr:nvSpPr>
      <xdr:spPr bwMode="auto">
        <a:xfrm>
          <a:off x="13611225" y="5295900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247650</xdr:colOff>
      <xdr:row>37</xdr:row>
      <xdr:rowOff>76200</xdr:rowOff>
    </xdr:from>
    <xdr:to>
      <xdr:col>15</xdr:col>
      <xdr:colOff>266700</xdr:colOff>
      <xdr:row>38</xdr:row>
      <xdr:rowOff>38100</xdr:rowOff>
    </xdr:to>
    <xdr:sp macro="" textlink="">
      <xdr:nvSpPr>
        <xdr:cNvPr id="299572" name="Rectangle 28"/>
        <xdr:cNvSpPr>
          <a:spLocks noChangeArrowheads="1"/>
        </xdr:cNvSpPr>
      </xdr:nvSpPr>
      <xdr:spPr bwMode="auto">
        <a:xfrm>
          <a:off x="13611225" y="7200900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247650</xdr:colOff>
      <xdr:row>27</xdr:row>
      <xdr:rowOff>76200</xdr:rowOff>
    </xdr:from>
    <xdr:to>
      <xdr:col>15</xdr:col>
      <xdr:colOff>266700</xdr:colOff>
      <xdr:row>28</xdr:row>
      <xdr:rowOff>38100</xdr:rowOff>
    </xdr:to>
    <xdr:sp macro="" textlink="">
      <xdr:nvSpPr>
        <xdr:cNvPr id="299573" name="Rectangle 28"/>
        <xdr:cNvSpPr>
          <a:spLocks noChangeArrowheads="1"/>
        </xdr:cNvSpPr>
      </xdr:nvSpPr>
      <xdr:spPr bwMode="auto">
        <a:xfrm>
          <a:off x="13611225" y="5295900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247650</xdr:colOff>
      <xdr:row>20</xdr:row>
      <xdr:rowOff>76200</xdr:rowOff>
    </xdr:from>
    <xdr:to>
      <xdr:col>15</xdr:col>
      <xdr:colOff>266700</xdr:colOff>
      <xdr:row>21</xdr:row>
      <xdr:rowOff>38100</xdr:rowOff>
    </xdr:to>
    <xdr:sp macro="" textlink="">
      <xdr:nvSpPr>
        <xdr:cNvPr id="299574" name="Rectangle 28"/>
        <xdr:cNvSpPr>
          <a:spLocks noChangeArrowheads="1"/>
        </xdr:cNvSpPr>
      </xdr:nvSpPr>
      <xdr:spPr bwMode="auto">
        <a:xfrm>
          <a:off x="13611225" y="3962400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44</xdr:col>
      <xdr:colOff>152400</xdr:colOff>
      <xdr:row>26</xdr:row>
      <xdr:rowOff>28575</xdr:rowOff>
    </xdr:from>
    <xdr:to>
      <xdr:col>44</xdr:col>
      <xdr:colOff>342900</xdr:colOff>
      <xdr:row>31</xdr:row>
      <xdr:rowOff>9525</xdr:rowOff>
    </xdr:to>
    <xdr:sp macro="" textlink="">
      <xdr:nvSpPr>
        <xdr:cNvPr id="299575" name="Obdélník 1"/>
        <xdr:cNvSpPr>
          <a:spLocks noChangeArrowheads="1"/>
        </xdr:cNvSpPr>
      </xdr:nvSpPr>
      <xdr:spPr bwMode="auto">
        <a:xfrm>
          <a:off x="30127575" y="5057775"/>
          <a:ext cx="190500" cy="933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37</xdr:col>
      <xdr:colOff>247650</xdr:colOff>
      <xdr:row>27</xdr:row>
      <xdr:rowOff>76200</xdr:rowOff>
    </xdr:from>
    <xdr:to>
      <xdr:col>37</xdr:col>
      <xdr:colOff>266700</xdr:colOff>
      <xdr:row>28</xdr:row>
      <xdr:rowOff>38100</xdr:rowOff>
    </xdr:to>
    <xdr:sp macro="" textlink="">
      <xdr:nvSpPr>
        <xdr:cNvPr id="299576" name="Rectangle 28"/>
        <xdr:cNvSpPr>
          <a:spLocks noChangeArrowheads="1"/>
        </xdr:cNvSpPr>
      </xdr:nvSpPr>
      <xdr:spPr bwMode="auto">
        <a:xfrm>
          <a:off x="26422350" y="5295900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37</xdr:col>
      <xdr:colOff>247650</xdr:colOff>
      <xdr:row>37</xdr:row>
      <xdr:rowOff>76200</xdr:rowOff>
    </xdr:from>
    <xdr:to>
      <xdr:col>37</xdr:col>
      <xdr:colOff>266700</xdr:colOff>
      <xdr:row>38</xdr:row>
      <xdr:rowOff>38100</xdr:rowOff>
    </xdr:to>
    <xdr:sp macro="" textlink="">
      <xdr:nvSpPr>
        <xdr:cNvPr id="299577" name="Rectangle 28"/>
        <xdr:cNvSpPr>
          <a:spLocks noChangeArrowheads="1"/>
        </xdr:cNvSpPr>
      </xdr:nvSpPr>
      <xdr:spPr bwMode="auto">
        <a:xfrm>
          <a:off x="26422350" y="7200900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35</xdr:col>
      <xdr:colOff>0</xdr:colOff>
      <xdr:row>36</xdr:row>
      <xdr:rowOff>28575</xdr:rowOff>
    </xdr:from>
    <xdr:to>
      <xdr:col>37</xdr:col>
      <xdr:colOff>76200</xdr:colOff>
      <xdr:row>37</xdr:row>
      <xdr:rowOff>104775</xdr:rowOff>
    </xdr:to>
    <xdr:sp macro="" textlink="">
      <xdr:nvSpPr>
        <xdr:cNvPr id="299578" name="Rectangle 28"/>
        <xdr:cNvSpPr>
          <a:spLocks noChangeArrowheads="1"/>
        </xdr:cNvSpPr>
      </xdr:nvSpPr>
      <xdr:spPr bwMode="auto">
        <a:xfrm flipH="1">
          <a:off x="25584150" y="6962775"/>
          <a:ext cx="6667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37</xdr:col>
      <xdr:colOff>247650</xdr:colOff>
      <xdr:row>27</xdr:row>
      <xdr:rowOff>76200</xdr:rowOff>
    </xdr:from>
    <xdr:to>
      <xdr:col>37</xdr:col>
      <xdr:colOff>266700</xdr:colOff>
      <xdr:row>28</xdr:row>
      <xdr:rowOff>38100</xdr:rowOff>
    </xdr:to>
    <xdr:sp macro="" textlink="">
      <xdr:nvSpPr>
        <xdr:cNvPr id="299579" name="Rectangle 28"/>
        <xdr:cNvSpPr>
          <a:spLocks noChangeArrowheads="1"/>
        </xdr:cNvSpPr>
      </xdr:nvSpPr>
      <xdr:spPr bwMode="auto">
        <a:xfrm>
          <a:off x="26422350" y="5295900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37</xdr:col>
      <xdr:colOff>247650</xdr:colOff>
      <xdr:row>20</xdr:row>
      <xdr:rowOff>76200</xdr:rowOff>
    </xdr:from>
    <xdr:to>
      <xdr:col>37</xdr:col>
      <xdr:colOff>266700</xdr:colOff>
      <xdr:row>21</xdr:row>
      <xdr:rowOff>38100</xdr:rowOff>
    </xdr:to>
    <xdr:sp macro="" textlink="">
      <xdr:nvSpPr>
        <xdr:cNvPr id="299580" name="Rectangle 28"/>
        <xdr:cNvSpPr>
          <a:spLocks noChangeArrowheads="1"/>
        </xdr:cNvSpPr>
      </xdr:nvSpPr>
      <xdr:spPr bwMode="auto">
        <a:xfrm>
          <a:off x="26422350" y="3962400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152400</xdr:colOff>
      <xdr:row>26</xdr:row>
      <xdr:rowOff>28575</xdr:rowOff>
    </xdr:from>
    <xdr:to>
      <xdr:col>66</xdr:col>
      <xdr:colOff>342900</xdr:colOff>
      <xdr:row>31</xdr:row>
      <xdr:rowOff>9525</xdr:rowOff>
    </xdr:to>
    <xdr:sp macro="" textlink="">
      <xdr:nvSpPr>
        <xdr:cNvPr id="299581" name="Obdélník 1"/>
        <xdr:cNvSpPr>
          <a:spLocks noChangeArrowheads="1"/>
        </xdr:cNvSpPr>
      </xdr:nvSpPr>
      <xdr:spPr bwMode="auto">
        <a:xfrm>
          <a:off x="42938700" y="5057775"/>
          <a:ext cx="190500" cy="933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59</xdr:col>
      <xdr:colOff>247650</xdr:colOff>
      <xdr:row>27</xdr:row>
      <xdr:rowOff>76200</xdr:rowOff>
    </xdr:from>
    <xdr:to>
      <xdr:col>59</xdr:col>
      <xdr:colOff>266700</xdr:colOff>
      <xdr:row>28</xdr:row>
      <xdr:rowOff>38100</xdr:rowOff>
    </xdr:to>
    <xdr:sp macro="" textlink="">
      <xdr:nvSpPr>
        <xdr:cNvPr id="299582" name="Rectangle 28"/>
        <xdr:cNvSpPr>
          <a:spLocks noChangeArrowheads="1"/>
        </xdr:cNvSpPr>
      </xdr:nvSpPr>
      <xdr:spPr bwMode="auto">
        <a:xfrm>
          <a:off x="39233475" y="5295900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59</xdr:col>
      <xdr:colOff>247650</xdr:colOff>
      <xdr:row>37</xdr:row>
      <xdr:rowOff>76200</xdr:rowOff>
    </xdr:from>
    <xdr:to>
      <xdr:col>59</xdr:col>
      <xdr:colOff>266700</xdr:colOff>
      <xdr:row>38</xdr:row>
      <xdr:rowOff>38100</xdr:rowOff>
    </xdr:to>
    <xdr:sp macro="" textlink="">
      <xdr:nvSpPr>
        <xdr:cNvPr id="299583" name="Rectangle 28"/>
        <xdr:cNvSpPr>
          <a:spLocks noChangeArrowheads="1"/>
        </xdr:cNvSpPr>
      </xdr:nvSpPr>
      <xdr:spPr bwMode="auto">
        <a:xfrm>
          <a:off x="39233475" y="7200900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57</xdr:col>
      <xdr:colOff>123825</xdr:colOff>
      <xdr:row>19</xdr:row>
      <xdr:rowOff>28575</xdr:rowOff>
    </xdr:from>
    <xdr:to>
      <xdr:col>57</xdr:col>
      <xdr:colOff>342900</xdr:colOff>
      <xdr:row>20</xdr:row>
      <xdr:rowOff>28575</xdr:rowOff>
    </xdr:to>
    <xdr:sp macro="" textlink="">
      <xdr:nvSpPr>
        <xdr:cNvPr id="299584" name="Rectangle 28"/>
        <xdr:cNvSpPr>
          <a:spLocks noChangeArrowheads="1"/>
        </xdr:cNvSpPr>
      </xdr:nvSpPr>
      <xdr:spPr bwMode="auto">
        <a:xfrm flipH="1">
          <a:off x="38519100" y="3724275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59</xdr:col>
      <xdr:colOff>247650</xdr:colOff>
      <xdr:row>27</xdr:row>
      <xdr:rowOff>76200</xdr:rowOff>
    </xdr:from>
    <xdr:to>
      <xdr:col>59</xdr:col>
      <xdr:colOff>266700</xdr:colOff>
      <xdr:row>28</xdr:row>
      <xdr:rowOff>38100</xdr:rowOff>
    </xdr:to>
    <xdr:sp macro="" textlink="">
      <xdr:nvSpPr>
        <xdr:cNvPr id="299585" name="Rectangle 28"/>
        <xdr:cNvSpPr>
          <a:spLocks noChangeArrowheads="1"/>
        </xdr:cNvSpPr>
      </xdr:nvSpPr>
      <xdr:spPr bwMode="auto">
        <a:xfrm>
          <a:off x="39233475" y="5295900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59</xdr:col>
      <xdr:colOff>247650</xdr:colOff>
      <xdr:row>20</xdr:row>
      <xdr:rowOff>76200</xdr:rowOff>
    </xdr:from>
    <xdr:to>
      <xdr:col>59</xdr:col>
      <xdr:colOff>266700</xdr:colOff>
      <xdr:row>21</xdr:row>
      <xdr:rowOff>38100</xdr:rowOff>
    </xdr:to>
    <xdr:sp macro="" textlink="">
      <xdr:nvSpPr>
        <xdr:cNvPr id="299586" name="Rectangle 28"/>
        <xdr:cNvSpPr>
          <a:spLocks noChangeArrowheads="1"/>
        </xdr:cNvSpPr>
      </xdr:nvSpPr>
      <xdr:spPr bwMode="auto">
        <a:xfrm>
          <a:off x="39233475" y="3962400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90</xdr:col>
      <xdr:colOff>152400</xdr:colOff>
      <xdr:row>26</xdr:row>
      <xdr:rowOff>28575</xdr:rowOff>
    </xdr:from>
    <xdr:to>
      <xdr:col>90</xdr:col>
      <xdr:colOff>342900</xdr:colOff>
      <xdr:row>31</xdr:row>
      <xdr:rowOff>9525</xdr:rowOff>
    </xdr:to>
    <xdr:sp macro="" textlink="">
      <xdr:nvSpPr>
        <xdr:cNvPr id="299587" name="Obdélník 1"/>
        <xdr:cNvSpPr>
          <a:spLocks noChangeArrowheads="1"/>
        </xdr:cNvSpPr>
      </xdr:nvSpPr>
      <xdr:spPr bwMode="auto">
        <a:xfrm>
          <a:off x="55540275" y="5057775"/>
          <a:ext cx="190500" cy="933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83</xdr:col>
      <xdr:colOff>247650</xdr:colOff>
      <xdr:row>27</xdr:row>
      <xdr:rowOff>76200</xdr:rowOff>
    </xdr:from>
    <xdr:to>
      <xdr:col>83</xdr:col>
      <xdr:colOff>266700</xdr:colOff>
      <xdr:row>28</xdr:row>
      <xdr:rowOff>38100</xdr:rowOff>
    </xdr:to>
    <xdr:sp macro="" textlink="">
      <xdr:nvSpPr>
        <xdr:cNvPr id="299588" name="Rectangle 28"/>
        <xdr:cNvSpPr>
          <a:spLocks noChangeArrowheads="1"/>
        </xdr:cNvSpPr>
      </xdr:nvSpPr>
      <xdr:spPr bwMode="auto">
        <a:xfrm>
          <a:off x="51835050" y="5295900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83</xdr:col>
      <xdr:colOff>247650</xdr:colOff>
      <xdr:row>37</xdr:row>
      <xdr:rowOff>76200</xdr:rowOff>
    </xdr:from>
    <xdr:to>
      <xdr:col>83</xdr:col>
      <xdr:colOff>266700</xdr:colOff>
      <xdr:row>38</xdr:row>
      <xdr:rowOff>38100</xdr:rowOff>
    </xdr:to>
    <xdr:sp macro="" textlink="">
      <xdr:nvSpPr>
        <xdr:cNvPr id="299589" name="Rectangle 28"/>
        <xdr:cNvSpPr>
          <a:spLocks noChangeArrowheads="1"/>
        </xdr:cNvSpPr>
      </xdr:nvSpPr>
      <xdr:spPr bwMode="auto">
        <a:xfrm>
          <a:off x="51835050" y="7200900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83</xdr:col>
      <xdr:colOff>247650</xdr:colOff>
      <xdr:row>27</xdr:row>
      <xdr:rowOff>76200</xdr:rowOff>
    </xdr:from>
    <xdr:to>
      <xdr:col>83</xdr:col>
      <xdr:colOff>266700</xdr:colOff>
      <xdr:row>28</xdr:row>
      <xdr:rowOff>38100</xdr:rowOff>
    </xdr:to>
    <xdr:sp macro="" textlink="">
      <xdr:nvSpPr>
        <xdr:cNvPr id="299590" name="Rectangle 28"/>
        <xdr:cNvSpPr>
          <a:spLocks noChangeArrowheads="1"/>
        </xdr:cNvSpPr>
      </xdr:nvSpPr>
      <xdr:spPr bwMode="auto">
        <a:xfrm>
          <a:off x="51835050" y="5295900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83</xdr:col>
      <xdr:colOff>247650</xdr:colOff>
      <xdr:row>20</xdr:row>
      <xdr:rowOff>76200</xdr:rowOff>
    </xdr:from>
    <xdr:to>
      <xdr:col>83</xdr:col>
      <xdr:colOff>266700</xdr:colOff>
      <xdr:row>21</xdr:row>
      <xdr:rowOff>38100</xdr:rowOff>
    </xdr:to>
    <xdr:sp macro="" textlink="">
      <xdr:nvSpPr>
        <xdr:cNvPr id="299591" name="Rectangle 28"/>
        <xdr:cNvSpPr>
          <a:spLocks noChangeArrowheads="1"/>
        </xdr:cNvSpPr>
      </xdr:nvSpPr>
      <xdr:spPr bwMode="auto">
        <a:xfrm>
          <a:off x="51835050" y="3962400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114</xdr:col>
      <xdr:colOff>152400</xdr:colOff>
      <xdr:row>26</xdr:row>
      <xdr:rowOff>28575</xdr:rowOff>
    </xdr:from>
    <xdr:to>
      <xdr:col>114</xdr:col>
      <xdr:colOff>342900</xdr:colOff>
      <xdr:row>31</xdr:row>
      <xdr:rowOff>9525</xdr:rowOff>
    </xdr:to>
    <xdr:sp macro="" textlink="">
      <xdr:nvSpPr>
        <xdr:cNvPr id="299592" name="Obdélník 1"/>
        <xdr:cNvSpPr>
          <a:spLocks noChangeArrowheads="1"/>
        </xdr:cNvSpPr>
      </xdr:nvSpPr>
      <xdr:spPr bwMode="auto">
        <a:xfrm>
          <a:off x="68141850" y="5057775"/>
          <a:ext cx="190500" cy="933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107</xdr:col>
      <xdr:colOff>247650</xdr:colOff>
      <xdr:row>27</xdr:row>
      <xdr:rowOff>76200</xdr:rowOff>
    </xdr:from>
    <xdr:to>
      <xdr:col>107</xdr:col>
      <xdr:colOff>266700</xdr:colOff>
      <xdr:row>28</xdr:row>
      <xdr:rowOff>38100</xdr:rowOff>
    </xdr:to>
    <xdr:sp macro="" textlink="">
      <xdr:nvSpPr>
        <xdr:cNvPr id="299593" name="Rectangle 28"/>
        <xdr:cNvSpPr>
          <a:spLocks noChangeArrowheads="1"/>
        </xdr:cNvSpPr>
      </xdr:nvSpPr>
      <xdr:spPr bwMode="auto">
        <a:xfrm>
          <a:off x="64436625" y="5295900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107</xdr:col>
      <xdr:colOff>247650</xdr:colOff>
      <xdr:row>37</xdr:row>
      <xdr:rowOff>76200</xdr:rowOff>
    </xdr:from>
    <xdr:to>
      <xdr:col>107</xdr:col>
      <xdr:colOff>266700</xdr:colOff>
      <xdr:row>38</xdr:row>
      <xdr:rowOff>38100</xdr:rowOff>
    </xdr:to>
    <xdr:sp macro="" textlink="">
      <xdr:nvSpPr>
        <xdr:cNvPr id="299594" name="Rectangle 28"/>
        <xdr:cNvSpPr>
          <a:spLocks noChangeArrowheads="1"/>
        </xdr:cNvSpPr>
      </xdr:nvSpPr>
      <xdr:spPr bwMode="auto">
        <a:xfrm>
          <a:off x="64436625" y="7200900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107</xdr:col>
      <xdr:colOff>247650</xdr:colOff>
      <xdr:row>27</xdr:row>
      <xdr:rowOff>76200</xdr:rowOff>
    </xdr:from>
    <xdr:to>
      <xdr:col>107</xdr:col>
      <xdr:colOff>266700</xdr:colOff>
      <xdr:row>28</xdr:row>
      <xdr:rowOff>38100</xdr:rowOff>
    </xdr:to>
    <xdr:sp macro="" textlink="">
      <xdr:nvSpPr>
        <xdr:cNvPr id="299595" name="Rectangle 28"/>
        <xdr:cNvSpPr>
          <a:spLocks noChangeArrowheads="1"/>
        </xdr:cNvSpPr>
      </xdr:nvSpPr>
      <xdr:spPr bwMode="auto">
        <a:xfrm>
          <a:off x="64436625" y="5295900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107</xdr:col>
      <xdr:colOff>247650</xdr:colOff>
      <xdr:row>20</xdr:row>
      <xdr:rowOff>76200</xdr:rowOff>
    </xdr:from>
    <xdr:to>
      <xdr:col>107</xdr:col>
      <xdr:colOff>266700</xdr:colOff>
      <xdr:row>21</xdr:row>
      <xdr:rowOff>38100</xdr:rowOff>
    </xdr:to>
    <xdr:sp macro="" textlink="">
      <xdr:nvSpPr>
        <xdr:cNvPr id="299596" name="Rectangle 28"/>
        <xdr:cNvSpPr>
          <a:spLocks noChangeArrowheads="1"/>
        </xdr:cNvSpPr>
      </xdr:nvSpPr>
      <xdr:spPr bwMode="auto">
        <a:xfrm>
          <a:off x="64436625" y="3962400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138</xdr:col>
      <xdr:colOff>152400</xdr:colOff>
      <xdr:row>26</xdr:row>
      <xdr:rowOff>28575</xdr:rowOff>
    </xdr:from>
    <xdr:to>
      <xdr:col>138</xdr:col>
      <xdr:colOff>342900</xdr:colOff>
      <xdr:row>31</xdr:row>
      <xdr:rowOff>9525</xdr:rowOff>
    </xdr:to>
    <xdr:sp macro="" textlink="">
      <xdr:nvSpPr>
        <xdr:cNvPr id="299597" name="Obdélník 1"/>
        <xdr:cNvSpPr>
          <a:spLocks noChangeArrowheads="1"/>
        </xdr:cNvSpPr>
      </xdr:nvSpPr>
      <xdr:spPr bwMode="auto">
        <a:xfrm>
          <a:off x="80991075" y="5057775"/>
          <a:ext cx="190500" cy="933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131</xdr:col>
      <xdr:colOff>247650</xdr:colOff>
      <xdr:row>27</xdr:row>
      <xdr:rowOff>76200</xdr:rowOff>
    </xdr:from>
    <xdr:to>
      <xdr:col>131</xdr:col>
      <xdr:colOff>266700</xdr:colOff>
      <xdr:row>28</xdr:row>
      <xdr:rowOff>38100</xdr:rowOff>
    </xdr:to>
    <xdr:sp macro="" textlink="">
      <xdr:nvSpPr>
        <xdr:cNvPr id="299598" name="Rectangle 28"/>
        <xdr:cNvSpPr>
          <a:spLocks noChangeArrowheads="1"/>
        </xdr:cNvSpPr>
      </xdr:nvSpPr>
      <xdr:spPr bwMode="auto">
        <a:xfrm>
          <a:off x="77285850" y="5295900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131</xdr:col>
      <xdr:colOff>247650</xdr:colOff>
      <xdr:row>37</xdr:row>
      <xdr:rowOff>76200</xdr:rowOff>
    </xdr:from>
    <xdr:to>
      <xdr:col>131</xdr:col>
      <xdr:colOff>266700</xdr:colOff>
      <xdr:row>38</xdr:row>
      <xdr:rowOff>38100</xdr:rowOff>
    </xdr:to>
    <xdr:sp macro="" textlink="">
      <xdr:nvSpPr>
        <xdr:cNvPr id="299599" name="Rectangle 28"/>
        <xdr:cNvSpPr>
          <a:spLocks noChangeArrowheads="1"/>
        </xdr:cNvSpPr>
      </xdr:nvSpPr>
      <xdr:spPr bwMode="auto">
        <a:xfrm>
          <a:off x="77285850" y="7200900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131</xdr:col>
      <xdr:colOff>247650</xdr:colOff>
      <xdr:row>27</xdr:row>
      <xdr:rowOff>76200</xdr:rowOff>
    </xdr:from>
    <xdr:to>
      <xdr:col>131</xdr:col>
      <xdr:colOff>266700</xdr:colOff>
      <xdr:row>28</xdr:row>
      <xdr:rowOff>38100</xdr:rowOff>
    </xdr:to>
    <xdr:sp macro="" textlink="">
      <xdr:nvSpPr>
        <xdr:cNvPr id="299600" name="Rectangle 28"/>
        <xdr:cNvSpPr>
          <a:spLocks noChangeArrowheads="1"/>
        </xdr:cNvSpPr>
      </xdr:nvSpPr>
      <xdr:spPr bwMode="auto">
        <a:xfrm>
          <a:off x="77285850" y="5295900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131</xdr:col>
      <xdr:colOff>247650</xdr:colOff>
      <xdr:row>20</xdr:row>
      <xdr:rowOff>76200</xdr:rowOff>
    </xdr:from>
    <xdr:to>
      <xdr:col>131</xdr:col>
      <xdr:colOff>266700</xdr:colOff>
      <xdr:row>21</xdr:row>
      <xdr:rowOff>38100</xdr:rowOff>
    </xdr:to>
    <xdr:sp macro="" textlink="">
      <xdr:nvSpPr>
        <xdr:cNvPr id="299601" name="Rectangle 28"/>
        <xdr:cNvSpPr>
          <a:spLocks noChangeArrowheads="1"/>
        </xdr:cNvSpPr>
      </xdr:nvSpPr>
      <xdr:spPr bwMode="auto">
        <a:xfrm>
          <a:off x="77285850" y="3962400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186</xdr:col>
      <xdr:colOff>152400</xdr:colOff>
      <xdr:row>26</xdr:row>
      <xdr:rowOff>28575</xdr:rowOff>
    </xdr:from>
    <xdr:to>
      <xdr:col>186</xdr:col>
      <xdr:colOff>342900</xdr:colOff>
      <xdr:row>31</xdr:row>
      <xdr:rowOff>9525</xdr:rowOff>
    </xdr:to>
    <xdr:sp macro="" textlink="">
      <xdr:nvSpPr>
        <xdr:cNvPr id="299602" name="Obdélník 1"/>
        <xdr:cNvSpPr>
          <a:spLocks noChangeArrowheads="1"/>
        </xdr:cNvSpPr>
      </xdr:nvSpPr>
      <xdr:spPr bwMode="auto">
        <a:xfrm>
          <a:off x="109032675" y="5057775"/>
          <a:ext cx="190500" cy="933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179</xdr:col>
      <xdr:colOff>247650</xdr:colOff>
      <xdr:row>27</xdr:row>
      <xdr:rowOff>76200</xdr:rowOff>
    </xdr:from>
    <xdr:to>
      <xdr:col>179</xdr:col>
      <xdr:colOff>266700</xdr:colOff>
      <xdr:row>28</xdr:row>
      <xdr:rowOff>38100</xdr:rowOff>
    </xdr:to>
    <xdr:sp macro="" textlink="">
      <xdr:nvSpPr>
        <xdr:cNvPr id="299603" name="Rectangle 28"/>
        <xdr:cNvSpPr>
          <a:spLocks noChangeArrowheads="1"/>
        </xdr:cNvSpPr>
      </xdr:nvSpPr>
      <xdr:spPr bwMode="auto">
        <a:xfrm>
          <a:off x="105327450" y="5295900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179</xdr:col>
      <xdr:colOff>247650</xdr:colOff>
      <xdr:row>37</xdr:row>
      <xdr:rowOff>76200</xdr:rowOff>
    </xdr:from>
    <xdr:to>
      <xdr:col>179</xdr:col>
      <xdr:colOff>266700</xdr:colOff>
      <xdr:row>38</xdr:row>
      <xdr:rowOff>38100</xdr:rowOff>
    </xdr:to>
    <xdr:sp macro="" textlink="">
      <xdr:nvSpPr>
        <xdr:cNvPr id="299604" name="Rectangle 28"/>
        <xdr:cNvSpPr>
          <a:spLocks noChangeArrowheads="1"/>
        </xdr:cNvSpPr>
      </xdr:nvSpPr>
      <xdr:spPr bwMode="auto">
        <a:xfrm>
          <a:off x="105327450" y="7200900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179</xdr:col>
      <xdr:colOff>247650</xdr:colOff>
      <xdr:row>27</xdr:row>
      <xdr:rowOff>76200</xdr:rowOff>
    </xdr:from>
    <xdr:to>
      <xdr:col>179</xdr:col>
      <xdr:colOff>266700</xdr:colOff>
      <xdr:row>28</xdr:row>
      <xdr:rowOff>38100</xdr:rowOff>
    </xdr:to>
    <xdr:sp macro="" textlink="">
      <xdr:nvSpPr>
        <xdr:cNvPr id="299605" name="Rectangle 28"/>
        <xdr:cNvSpPr>
          <a:spLocks noChangeArrowheads="1"/>
        </xdr:cNvSpPr>
      </xdr:nvSpPr>
      <xdr:spPr bwMode="auto">
        <a:xfrm>
          <a:off x="105327450" y="5295900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179</xdr:col>
      <xdr:colOff>247650</xdr:colOff>
      <xdr:row>20</xdr:row>
      <xdr:rowOff>76200</xdr:rowOff>
    </xdr:from>
    <xdr:to>
      <xdr:col>179</xdr:col>
      <xdr:colOff>266700</xdr:colOff>
      <xdr:row>21</xdr:row>
      <xdr:rowOff>38100</xdr:rowOff>
    </xdr:to>
    <xdr:sp macro="" textlink="">
      <xdr:nvSpPr>
        <xdr:cNvPr id="299606" name="Rectangle 28"/>
        <xdr:cNvSpPr>
          <a:spLocks noChangeArrowheads="1"/>
        </xdr:cNvSpPr>
      </xdr:nvSpPr>
      <xdr:spPr bwMode="auto">
        <a:xfrm>
          <a:off x="105327450" y="3962400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57</xdr:col>
      <xdr:colOff>0</xdr:colOff>
      <xdr:row>38</xdr:row>
      <xdr:rowOff>28575</xdr:rowOff>
    </xdr:from>
    <xdr:to>
      <xdr:col>59</xdr:col>
      <xdr:colOff>295275</xdr:colOff>
      <xdr:row>39</xdr:row>
      <xdr:rowOff>66675</xdr:rowOff>
    </xdr:to>
    <xdr:sp macro="" textlink="">
      <xdr:nvSpPr>
        <xdr:cNvPr id="299607" name="Rectangle 27"/>
        <xdr:cNvSpPr>
          <a:spLocks noChangeArrowheads="1"/>
        </xdr:cNvSpPr>
      </xdr:nvSpPr>
      <xdr:spPr bwMode="auto">
        <a:xfrm flipH="1">
          <a:off x="38395275" y="7343775"/>
          <a:ext cx="8858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57</xdr:col>
      <xdr:colOff>0</xdr:colOff>
      <xdr:row>57</xdr:row>
      <xdr:rowOff>142875</xdr:rowOff>
    </xdr:from>
    <xdr:to>
      <xdr:col>57</xdr:col>
      <xdr:colOff>19050</xdr:colOff>
      <xdr:row>58</xdr:row>
      <xdr:rowOff>104775</xdr:rowOff>
    </xdr:to>
    <xdr:sp macro="" textlink="">
      <xdr:nvSpPr>
        <xdr:cNvPr id="299608" name="Rectangle 27"/>
        <xdr:cNvSpPr>
          <a:spLocks noChangeArrowheads="1"/>
        </xdr:cNvSpPr>
      </xdr:nvSpPr>
      <xdr:spPr bwMode="auto">
        <a:xfrm>
          <a:off x="38395275" y="11077575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35</xdr:col>
      <xdr:colOff>0</xdr:colOff>
      <xdr:row>51</xdr:row>
      <xdr:rowOff>152400</xdr:rowOff>
    </xdr:from>
    <xdr:to>
      <xdr:col>35</xdr:col>
      <xdr:colOff>552450</xdr:colOff>
      <xdr:row>53</xdr:row>
      <xdr:rowOff>152400</xdr:rowOff>
    </xdr:to>
    <xdr:sp macro="" textlink="">
      <xdr:nvSpPr>
        <xdr:cNvPr id="299609" name="Rectangle 28"/>
        <xdr:cNvSpPr>
          <a:spLocks noChangeArrowheads="1"/>
        </xdr:cNvSpPr>
      </xdr:nvSpPr>
      <xdr:spPr bwMode="auto">
        <a:xfrm flipH="1">
          <a:off x="25584150" y="9944100"/>
          <a:ext cx="55245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33</xdr:col>
      <xdr:colOff>152400</xdr:colOff>
      <xdr:row>59</xdr:row>
      <xdr:rowOff>85725</xdr:rowOff>
    </xdr:from>
    <xdr:to>
      <xdr:col>34</xdr:col>
      <xdr:colOff>400050</xdr:colOff>
      <xdr:row>60</xdr:row>
      <xdr:rowOff>66675</xdr:rowOff>
    </xdr:to>
    <xdr:sp macro="" textlink="">
      <xdr:nvSpPr>
        <xdr:cNvPr id="299610" name="Rectangle 27"/>
        <xdr:cNvSpPr>
          <a:spLocks noChangeArrowheads="1"/>
        </xdr:cNvSpPr>
      </xdr:nvSpPr>
      <xdr:spPr bwMode="auto">
        <a:xfrm>
          <a:off x="21707475" y="11401425"/>
          <a:ext cx="6286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57</xdr:col>
      <xdr:colOff>0</xdr:colOff>
      <xdr:row>19</xdr:row>
      <xdr:rowOff>104775</xdr:rowOff>
    </xdr:from>
    <xdr:to>
      <xdr:col>57</xdr:col>
      <xdr:colOff>209550</xdr:colOff>
      <xdr:row>21</xdr:row>
      <xdr:rowOff>28575</xdr:rowOff>
    </xdr:to>
    <xdr:sp macro="" textlink="">
      <xdr:nvSpPr>
        <xdr:cNvPr id="299611" name="Rectangle 28"/>
        <xdr:cNvSpPr>
          <a:spLocks noChangeArrowheads="1"/>
        </xdr:cNvSpPr>
      </xdr:nvSpPr>
      <xdr:spPr bwMode="auto">
        <a:xfrm flipH="1">
          <a:off x="38395275" y="3800475"/>
          <a:ext cx="20955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57</xdr:col>
      <xdr:colOff>0</xdr:colOff>
      <xdr:row>58</xdr:row>
      <xdr:rowOff>123825</xdr:rowOff>
    </xdr:from>
    <xdr:to>
      <xdr:col>59</xdr:col>
      <xdr:colOff>190500</xdr:colOff>
      <xdr:row>60</xdr:row>
      <xdr:rowOff>114300</xdr:rowOff>
    </xdr:to>
    <xdr:sp macro="" textlink="">
      <xdr:nvSpPr>
        <xdr:cNvPr id="299612" name="Rectangle 28"/>
        <xdr:cNvSpPr>
          <a:spLocks noChangeArrowheads="1"/>
        </xdr:cNvSpPr>
      </xdr:nvSpPr>
      <xdr:spPr bwMode="auto">
        <a:xfrm flipH="1">
          <a:off x="38395275" y="11249025"/>
          <a:ext cx="78105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57</xdr:col>
      <xdr:colOff>0</xdr:colOff>
      <xdr:row>63</xdr:row>
      <xdr:rowOff>114300</xdr:rowOff>
    </xdr:from>
    <xdr:to>
      <xdr:col>59</xdr:col>
      <xdr:colOff>171450</xdr:colOff>
      <xdr:row>65</xdr:row>
      <xdr:rowOff>133350</xdr:rowOff>
    </xdr:to>
    <xdr:sp macro="" textlink="">
      <xdr:nvSpPr>
        <xdr:cNvPr id="299613" name="Rectangle 28"/>
        <xdr:cNvSpPr>
          <a:spLocks noChangeArrowheads="1"/>
        </xdr:cNvSpPr>
      </xdr:nvSpPr>
      <xdr:spPr bwMode="auto">
        <a:xfrm>
          <a:off x="38395275" y="12192000"/>
          <a:ext cx="7620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12702</xdr:colOff>
      <xdr:row>7</xdr:row>
      <xdr:rowOff>49743</xdr:rowOff>
    </xdr:from>
    <xdr:to>
      <xdr:col>5</xdr:col>
      <xdr:colOff>108</xdr:colOff>
      <xdr:row>13</xdr:row>
      <xdr:rowOff>9525</xdr:rowOff>
    </xdr:to>
    <xdr:cxnSp macro="">
      <xdr:nvCxnSpPr>
        <xdr:cNvPr id="206" name="Přímá spojovací šipka 205"/>
        <xdr:cNvCxnSpPr/>
      </xdr:nvCxnSpPr>
      <xdr:spPr>
        <a:xfrm flipH="1" flipV="1">
          <a:off x="2460627" y="1468968"/>
          <a:ext cx="587373" cy="1102782"/>
        </a:xfrm>
        <a:prstGeom prst="straightConnector1">
          <a:avLst/>
        </a:prstGeom>
        <a:ln>
          <a:solidFill>
            <a:schemeClr val="accent5">
              <a:lumMod val="20000"/>
              <a:lumOff val="8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577850</xdr:colOff>
      <xdr:row>13</xdr:row>
      <xdr:rowOff>0</xdr:rowOff>
    </xdr:from>
    <xdr:to>
      <xdr:col>5</xdr:col>
      <xdr:colOff>10113</xdr:colOff>
      <xdr:row>13</xdr:row>
      <xdr:rowOff>0</xdr:rowOff>
    </xdr:to>
    <xdr:cxnSp macro="">
      <xdr:nvCxnSpPr>
        <xdr:cNvPr id="207" name="Přímá spojovací šipka 206"/>
        <xdr:cNvCxnSpPr/>
      </xdr:nvCxnSpPr>
      <xdr:spPr>
        <a:xfrm flipH="1">
          <a:off x="2428875" y="2562225"/>
          <a:ext cx="628650" cy="0"/>
        </a:xfrm>
        <a:prstGeom prst="straightConnector1">
          <a:avLst/>
        </a:prstGeom>
        <a:ln>
          <a:solidFill>
            <a:schemeClr val="accent5">
              <a:lumMod val="20000"/>
              <a:lumOff val="8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578909</xdr:colOff>
      <xdr:row>8</xdr:row>
      <xdr:rowOff>180975</xdr:rowOff>
    </xdr:from>
    <xdr:to>
      <xdr:col>4</xdr:col>
      <xdr:colOff>577850</xdr:colOff>
      <xdr:row>13</xdr:row>
      <xdr:rowOff>9525</xdr:rowOff>
    </xdr:to>
    <xdr:cxnSp macro="">
      <xdr:nvCxnSpPr>
        <xdr:cNvPr id="209" name="Přímá spojovací šipka 208"/>
        <xdr:cNvCxnSpPr/>
      </xdr:nvCxnSpPr>
      <xdr:spPr>
        <a:xfrm flipH="1" flipV="1">
          <a:off x="2429934" y="1790700"/>
          <a:ext cx="608541" cy="781050"/>
        </a:xfrm>
        <a:prstGeom prst="straightConnector1">
          <a:avLst/>
        </a:prstGeom>
        <a:ln>
          <a:solidFill>
            <a:schemeClr val="accent5">
              <a:lumMod val="20000"/>
              <a:lumOff val="8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10584</xdr:colOff>
      <xdr:row>11</xdr:row>
      <xdr:rowOff>2</xdr:rowOff>
    </xdr:from>
    <xdr:to>
      <xdr:col>5</xdr:col>
      <xdr:colOff>9525</xdr:colOff>
      <xdr:row>13</xdr:row>
      <xdr:rowOff>9525</xdr:rowOff>
    </xdr:to>
    <xdr:cxnSp macro="">
      <xdr:nvCxnSpPr>
        <xdr:cNvPr id="212" name="Přímá spojovací šipka 211"/>
        <xdr:cNvCxnSpPr/>
      </xdr:nvCxnSpPr>
      <xdr:spPr>
        <a:xfrm flipH="1" flipV="1">
          <a:off x="2448984" y="2181227"/>
          <a:ext cx="608541" cy="390523"/>
        </a:xfrm>
        <a:prstGeom prst="straightConnector1">
          <a:avLst/>
        </a:prstGeom>
        <a:ln>
          <a:solidFill>
            <a:schemeClr val="accent5">
              <a:lumMod val="20000"/>
              <a:lumOff val="8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578911</xdr:colOff>
      <xdr:row>13</xdr:row>
      <xdr:rowOff>0</xdr:rowOff>
    </xdr:from>
    <xdr:to>
      <xdr:col>5</xdr:col>
      <xdr:colOff>10186</xdr:colOff>
      <xdr:row>14</xdr:row>
      <xdr:rowOff>189443</xdr:rowOff>
    </xdr:to>
    <xdr:cxnSp macro="">
      <xdr:nvCxnSpPr>
        <xdr:cNvPr id="215" name="Přímá spojovací šipka 214"/>
        <xdr:cNvCxnSpPr/>
      </xdr:nvCxnSpPr>
      <xdr:spPr>
        <a:xfrm flipH="1">
          <a:off x="2429936" y="2562225"/>
          <a:ext cx="627589" cy="379943"/>
        </a:xfrm>
        <a:prstGeom prst="straightConnector1">
          <a:avLst/>
        </a:prstGeom>
        <a:ln>
          <a:solidFill>
            <a:schemeClr val="accent5">
              <a:lumMod val="20000"/>
              <a:lumOff val="8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9526</xdr:colOff>
      <xdr:row>13</xdr:row>
      <xdr:rowOff>9525</xdr:rowOff>
    </xdr:from>
    <xdr:to>
      <xdr:col>5</xdr:col>
      <xdr:colOff>161</xdr:colOff>
      <xdr:row>16</xdr:row>
      <xdr:rowOff>158805</xdr:rowOff>
    </xdr:to>
    <xdr:cxnSp macro="">
      <xdr:nvCxnSpPr>
        <xdr:cNvPr id="218" name="Přímá spojovací šipka 217"/>
        <xdr:cNvCxnSpPr/>
      </xdr:nvCxnSpPr>
      <xdr:spPr>
        <a:xfrm flipH="1">
          <a:off x="2457451" y="2571750"/>
          <a:ext cx="590549" cy="733425"/>
        </a:xfrm>
        <a:prstGeom prst="straightConnector1">
          <a:avLst/>
        </a:prstGeom>
        <a:ln>
          <a:solidFill>
            <a:schemeClr val="accent5">
              <a:lumMod val="20000"/>
              <a:lumOff val="8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8</xdr:col>
      <xdr:colOff>400050</xdr:colOff>
      <xdr:row>4</xdr:row>
      <xdr:rowOff>180975</xdr:rowOff>
    </xdr:from>
    <xdr:to>
      <xdr:col>10</xdr:col>
      <xdr:colOff>304800</xdr:colOff>
      <xdr:row>13</xdr:row>
      <xdr:rowOff>76200</xdr:rowOff>
    </xdr:to>
    <xdr:pic>
      <xdr:nvPicPr>
        <xdr:cNvPr id="299620" name="Obrázek 52" descr="CIa4O73nu6tbJ2ogo-7co18ainO8lP2aR0mRs2-VU6E&amp;width=341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124450" y="1019175"/>
          <a:ext cx="2409825" cy="1609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171450</xdr:colOff>
      <xdr:row>16</xdr:row>
      <xdr:rowOff>142875</xdr:rowOff>
    </xdr:from>
    <xdr:to>
      <xdr:col>8</xdr:col>
      <xdr:colOff>266700</xdr:colOff>
      <xdr:row>23</xdr:row>
      <xdr:rowOff>104775</xdr:rowOff>
    </xdr:to>
    <xdr:pic>
      <xdr:nvPicPr>
        <xdr:cNvPr id="299621" name="Obrázek 53" descr="mId__gS6srrn2gNELPsZlPpPZjZd3NQZCzdwTNyPTk4&amp;width=341.jpg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124200" y="3267075"/>
          <a:ext cx="1866900" cy="1295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47626</xdr:colOff>
      <xdr:row>12</xdr:row>
      <xdr:rowOff>189441</xdr:rowOff>
    </xdr:from>
    <xdr:to>
      <xdr:col>5</xdr:col>
      <xdr:colOff>12701</xdr:colOff>
      <xdr:row>19</xdr:row>
      <xdr:rowOff>0</xdr:rowOff>
    </xdr:to>
    <xdr:cxnSp macro="">
      <xdr:nvCxnSpPr>
        <xdr:cNvPr id="55" name="Přímá spojovací šipka 54"/>
        <xdr:cNvCxnSpPr>
          <a:stCxn id="299395" idx="1"/>
        </xdr:cNvCxnSpPr>
      </xdr:nvCxnSpPr>
      <xdr:spPr>
        <a:xfrm flipH="1">
          <a:off x="2486026" y="2551641"/>
          <a:ext cx="574675" cy="1144059"/>
        </a:xfrm>
        <a:prstGeom prst="straightConnector1">
          <a:avLst/>
        </a:prstGeom>
        <a:ln>
          <a:solidFill>
            <a:schemeClr val="accent5">
              <a:lumMod val="20000"/>
              <a:lumOff val="8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162</xdr:col>
      <xdr:colOff>152400</xdr:colOff>
      <xdr:row>26</xdr:row>
      <xdr:rowOff>28575</xdr:rowOff>
    </xdr:from>
    <xdr:to>
      <xdr:col>162</xdr:col>
      <xdr:colOff>342900</xdr:colOff>
      <xdr:row>31</xdr:row>
      <xdr:rowOff>9525</xdr:rowOff>
    </xdr:to>
    <xdr:sp macro="" textlink="">
      <xdr:nvSpPr>
        <xdr:cNvPr id="299623" name="Obdélník 1"/>
        <xdr:cNvSpPr>
          <a:spLocks noChangeArrowheads="1"/>
        </xdr:cNvSpPr>
      </xdr:nvSpPr>
      <xdr:spPr bwMode="auto">
        <a:xfrm>
          <a:off x="96431100" y="5057775"/>
          <a:ext cx="190500" cy="933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155</xdr:col>
      <xdr:colOff>247650</xdr:colOff>
      <xdr:row>27</xdr:row>
      <xdr:rowOff>76200</xdr:rowOff>
    </xdr:from>
    <xdr:to>
      <xdr:col>155</xdr:col>
      <xdr:colOff>266700</xdr:colOff>
      <xdr:row>28</xdr:row>
      <xdr:rowOff>38100</xdr:rowOff>
    </xdr:to>
    <xdr:sp macro="" textlink="">
      <xdr:nvSpPr>
        <xdr:cNvPr id="299624" name="Rectangle 28"/>
        <xdr:cNvSpPr>
          <a:spLocks noChangeArrowheads="1"/>
        </xdr:cNvSpPr>
      </xdr:nvSpPr>
      <xdr:spPr bwMode="auto">
        <a:xfrm>
          <a:off x="92725875" y="5295900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155</xdr:col>
      <xdr:colOff>247650</xdr:colOff>
      <xdr:row>27</xdr:row>
      <xdr:rowOff>76200</xdr:rowOff>
    </xdr:from>
    <xdr:to>
      <xdr:col>155</xdr:col>
      <xdr:colOff>266700</xdr:colOff>
      <xdr:row>28</xdr:row>
      <xdr:rowOff>38100</xdr:rowOff>
    </xdr:to>
    <xdr:sp macro="" textlink="">
      <xdr:nvSpPr>
        <xdr:cNvPr id="299625" name="Rectangle 28"/>
        <xdr:cNvSpPr>
          <a:spLocks noChangeArrowheads="1"/>
        </xdr:cNvSpPr>
      </xdr:nvSpPr>
      <xdr:spPr bwMode="auto">
        <a:xfrm>
          <a:off x="92725875" y="5295900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155</xdr:col>
      <xdr:colOff>247650</xdr:colOff>
      <xdr:row>20</xdr:row>
      <xdr:rowOff>76200</xdr:rowOff>
    </xdr:from>
    <xdr:to>
      <xdr:col>155</xdr:col>
      <xdr:colOff>266700</xdr:colOff>
      <xdr:row>21</xdr:row>
      <xdr:rowOff>38100</xdr:rowOff>
    </xdr:to>
    <xdr:sp macro="" textlink="">
      <xdr:nvSpPr>
        <xdr:cNvPr id="299626" name="Rectangle 28"/>
        <xdr:cNvSpPr>
          <a:spLocks noChangeArrowheads="1"/>
        </xdr:cNvSpPr>
      </xdr:nvSpPr>
      <xdr:spPr bwMode="auto">
        <a:xfrm>
          <a:off x="92725875" y="3962400"/>
          <a:ext cx="190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0</xdr:colOff>
      <xdr:row>24</xdr:row>
      <xdr:rowOff>76200</xdr:rowOff>
    </xdr:from>
    <xdr:to>
      <xdr:col>25</xdr:col>
      <xdr:colOff>19050</xdr:colOff>
      <xdr:row>25</xdr:row>
      <xdr:rowOff>47625</xdr:rowOff>
    </xdr:to>
    <xdr:sp macro="" textlink="">
      <xdr:nvSpPr>
        <xdr:cNvPr id="256392" name="Rectangle 28"/>
        <xdr:cNvSpPr>
          <a:spLocks noChangeArrowheads="1"/>
        </xdr:cNvSpPr>
      </xdr:nvSpPr>
      <xdr:spPr bwMode="auto">
        <a:xfrm>
          <a:off x="2781300" y="4724400"/>
          <a:ext cx="4000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24</xdr:row>
      <xdr:rowOff>76200</xdr:rowOff>
    </xdr:from>
    <xdr:to>
      <xdr:col>25</xdr:col>
      <xdr:colOff>19050</xdr:colOff>
      <xdr:row>25</xdr:row>
      <xdr:rowOff>47625</xdr:rowOff>
    </xdr:to>
    <xdr:sp macro="" textlink="">
      <xdr:nvSpPr>
        <xdr:cNvPr id="256393" name="Rectangle 28"/>
        <xdr:cNvSpPr>
          <a:spLocks noChangeArrowheads="1"/>
        </xdr:cNvSpPr>
      </xdr:nvSpPr>
      <xdr:spPr bwMode="auto">
        <a:xfrm>
          <a:off x="2781300" y="4724400"/>
          <a:ext cx="4000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24</xdr:row>
      <xdr:rowOff>76200</xdr:rowOff>
    </xdr:from>
    <xdr:to>
      <xdr:col>25</xdr:col>
      <xdr:colOff>19050</xdr:colOff>
      <xdr:row>25</xdr:row>
      <xdr:rowOff>47625</xdr:rowOff>
    </xdr:to>
    <xdr:sp macro="" textlink="">
      <xdr:nvSpPr>
        <xdr:cNvPr id="256394" name="Rectangle 28"/>
        <xdr:cNvSpPr>
          <a:spLocks noChangeArrowheads="1"/>
        </xdr:cNvSpPr>
      </xdr:nvSpPr>
      <xdr:spPr bwMode="auto">
        <a:xfrm>
          <a:off x="2781300" y="4724400"/>
          <a:ext cx="4000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24</xdr:row>
      <xdr:rowOff>76200</xdr:rowOff>
    </xdr:from>
    <xdr:to>
      <xdr:col>25</xdr:col>
      <xdr:colOff>19050</xdr:colOff>
      <xdr:row>25</xdr:row>
      <xdr:rowOff>47625</xdr:rowOff>
    </xdr:to>
    <xdr:sp macro="" textlink="">
      <xdr:nvSpPr>
        <xdr:cNvPr id="256395" name="Rectangle 28"/>
        <xdr:cNvSpPr>
          <a:spLocks noChangeArrowheads="1"/>
        </xdr:cNvSpPr>
      </xdr:nvSpPr>
      <xdr:spPr bwMode="auto">
        <a:xfrm>
          <a:off x="2781300" y="4724400"/>
          <a:ext cx="4000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24</xdr:row>
      <xdr:rowOff>76200</xdr:rowOff>
    </xdr:from>
    <xdr:to>
      <xdr:col>25</xdr:col>
      <xdr:colOff>19050</xdr:colOff>
      <xdr:row>25</xdr:row>
      <xdr:rowOff>47625</xdr:rowOff>
    </xdr:to>
    <xdr:sp macro="" textlink="">
      <xdr:nvSpPr>
        <xdr:cNvPr id="256396" name="Rectangle 28"/>
        <xdr:cNvSpPr>
          <a:spLocks noChangeArrowheads="1"/>
        </xdr:cNvSpPr>
      </xdr:nvSpPr>
      <xdr:spPr bwMode="auto">
        <a:xfrm>
          <a:off x="2781300" y="4724400"/>
          <a:ext cx="4000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24</xdr:row>
      <xdr:rowOff>76200</xdr:rowOff>
    </xdr:from>
    <xdr:to>
      <xdr:col>25</xdr:col>
      <xdr:colOff>19050</xdr:colOff>
      <xdr:row>25</xdr:row>
      <xdr:rowOff>76200</xdr:rowOff>
    </xdr:to>
    <xdr:sp macro="" textlink="">
      <xdr:nvSpPr>
        <xdr:cNvPr id="256397" name="Rectangle 28"/>
        <xdr:cNvSpPr>
          <a:spLocks noChangeArrowheads="1"/>
        </xdr:cNvSpPr>
      </xdr:nvSpPr>
      <xdr:spPr bwMode="auto">
        <a:xfrm>
          <a:off x="2781300" y="4724400"/>
          <a:ext cx="4000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24</xdr:row>
      <xdr:rowOff>76200</xdr:rowOff>
    </xdr:from>
    <xdr:to>
      <xdr:col>25</xdr:col>
      <xdr:colOff>19050</xdr:colOff>
      <xdr:row>25</xdr:row>
      <xdr:rowOff>47625</xdr:rowOff>
    </xdr:to>
    <xdr:sp macro="" textlink="">
      <xdr:nvSpPr>
        <xdr:cNvPr id="256398" name="Rectangle 28"/>
        <xdr:cNvSpPr>
          <a:spLocks noChangeArrowheads="1"/>
        </xdr:cNvSpPr>
      </xdr:nvSpPr>
      <xdr:spPr bwMode="auto">
        <a:xfrm>
          <a:off x="2781300" y="4724400"/>
          <a:ext cx="4000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22</xdr:row>
      <xdr:rowOff>76200</xdr:rowOff>
    </xdr:from>
    <xdr:to>
      <xdr:col>25</xdr:col>
      <xdr:colOff>19050</xdr:colOff>
      <xdr:row>23</xdr:row>
      <xdr:rowOff>47625</xdr:rowOff>
    </xdr:to>
    <xdr:sp macro="" textlink="">
      <xdr:nvSpPr>
        <xdr:cNvPr id="256399" name="Rectangle 28"/>
        <xdr:cNvSpPr>
          <a:spLocks noChangeArrowheads="1"/>
        </xdr:cNvSpPr>
      </xdr:nvSpPr>
      <xdr:spPr bwMode="auto">
        <a:xfrm>
          <a:off x="2781300" y="4343400"/>
          <a:ext cx="4000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22</xdr:row>
      <xdr:rowOff>76200</xdr:rowOff>
    </xdr:from>
    <xdr:to>
      <xdr:col>25</xdr:col>
      <xdr:colOff>19050</xdr:colOff>
      <xdr:row>23</xdr:row>
      <xdr:rowOff>47625</xdr:rowOff>
    </xdr:to>
    <xdr:sp macro="" textlink="">
      <xdr:nvSpPr>
        <xdr:cNvPr id="256400" name="Rectangle 28"/>
        <xdr:cNvSpPr>
          <a:spLocks noChangeArrowheads="1"/>
        </xdr:cNvSpPr>
      </xdr:nvSpPr>
      <xdr:spPr bwMode="auto">
        <a:xfrm>
          <a:off x="2781300" y="4343400"/>
          <a:ext cx="4000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22</xdr:row>
      <xdr:rowOff>76200</xdr:rowOff>
    </xdr:from>
    <xdr:to>
      <xdr:col>25</xdr:col>
      <xdr:colOff>19050</xdr:colOff>
      <xdr:row>23</xdr:row>
      <xdr:rowOff>47625</xdr:rowOff>
    </xdr:to>
    <xdr:sp macro="" textlink="">
      <xdr:nvSpPr>
        <xdr:cNvPr id="256401" name="Rectangle 28"/>
        <xdr:cNvSpPr>
          <a:spLocks noChangeArrowheads="1"/>
        </xdr:cNvSpPr>
      </xdr:nvSpPr>
      <xdr:spPr bwMode="auto">
        <a:xfrm>
          <a:off x="2781300" y="4343400"/>
          <a:ext cx="4000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22</xdr:row>
      <xdr:rowOff>76200</xdr:rowOff>
    </xdr:from>
    <xdr:to>
      <xdr:col>25</xdr:col>
      <xdr:colOff>19050</xdr:colOff>
      <xdr:row>23</xdr:row>
      <xdr:rowOff>47625</xdr:rowOff>
    </xdr:to>
    <xdr:sp macro="" textlink="">
      <xdr:nvSpPr>
        <xdr:cNvPr id="256402" name="Rectangle 28"/>
        <xdr:cNvSpPr>
          <a:spLocks noChangeArrowheads="1"/>
        </xdr:cNvSpPr>
      </xdr:nvSpPr>
      <xdr:spPr bwMode="auto">
        <a:xfrm>
          <a:off x="2781300" y="4343400"/>
          <a:ext cx="4000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22</xdr:row>
      <xdr:rowOff>76200</xdr:rowOff>
    </xdr:from>
    <xdr:to>
      <xdr:col>25</xdr:col>
      <xdr:colOff>19050</xdr:colOff>
      <xdr:row>23</xdr:row>
      <xdr:rowOff>47625</xdr:rowOff>
    </xdr:to>
    <xdr:sp macro="" textlink="">
      <xdr:nvSpPr>
        <xdr:cNvPr id="256403" name="Rectangle 28"/>
        <xdr:cNvSpPr>
          <a:spLocks noChangeArrowheads="1"/>
        </xdr:cNvSpPr>
      </xdr:nvSpPr>
      <xdr:spPr bwMode="auto">
        <a:xfrm>
          <a:off x="2781300" y="4343400"/>
          <a:ext cx="4000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22</xdr:row>
      <xdr:rowOff>76200</xdr:rowOff>
    </xdr:from>
    <xdr:to>
      <xdr:col>25</xdr:col>
      <xdr:colOff>19050</xdr:colOff>
      <xdr:row>23</xdr:row>
      <xdr:rowOff>76200</xdr:rowOff>
    </xdr:to>
    <xdr:sp macro="" textlink="">
      <xdr:nvSpPr>
        <xdr:cNvPr id="256404" name="Rectangle 28"/>
        <xdr:cNvSpPr>
          <a:spLocks noChangeArrowheads="1"/>
        </xdr:cNvSpPr>
      </xdr:nvSpPr>
      <xdr:spPr bwMode="auto">
        <a:xfrm>
          <a:off x="2781300" y="4343400"/>
          <a:ext cx="4000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22</xdr:row>
      <xdr:rowOff>76200</xdr:rowOff>
    </xdr:from>
    <xdr:to>
      <xdr:col>25</xdr:col>
      <xdr:colOff>19050</xdr:colOff>
      <xdr:row>23</xdr:row>
      <xdr:rowOff>47625</xdr:rowOff>
    </xdr:to>
    <xdr:sp macro="" textlink="">
      <xdr:nvSpPr>
        <xdr:cNvPr id="256405" name="Rectangle 28"/>
        <xdr:cNvSpPr>
          <a:spLocks noChangeArrowheads="1"/>
        </xdr:cNvSpPr>
      </xdr:nvSpPr>
      <xdr:spPr bwMode="auto">
        <a:xfrm>
          <a:off x="2781300" y="4343400"/>
          <a:ext cx="4000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solidFill>
          <a:schemeClr val="accent2"/>
        </a:solidFill>
        <a:ln w="9525">
          <a:noFill/>
          <a:miter lim="800000"/>
          <a:headEnd/>
          <a:tailEnd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" enableFormatConditionsCalculation="0">
    <tabColor rgb="FF00B0F0"/>
  </sheetPr>
  <dimension ref="A1:AG174"/>
  <sheetViews>
    <sheetView showGridLines="0" workbookViewId="0">
      <pane ySplit="3" topLeftCell="A4" activePane="bottomLeft" state="frozen"/>
      <selection pane="bottomLeft" activeCell="AH16" sqref="AH16"/>
    </sheetView>
  </sheetViews>
  <sheetFormatPr defaultColWidth="8.85546875" defaultRowHeight="12.75"/>
  <cols>
    <col min="1" max="1" width="1.7109375" customWidth="1"/>
    <col min="2" max="2" width="4.42578125" customWidth="1"/>
    <col min="3" max="3" width="20.42578125" customWidth="1"/>
    <col min="4" max="4" width="4.28515625" hidden="1" customWidth="1"/>
    <col min="5" max="5" width="9.140625" customWidth="1"/>
    <col min="6" max="6" width="3.7109375" customWidth="1"/>
    <col min="7" max="7" width="3.7109375" hidden="1" customWidth="1"/>
    <col min="8" max="8" width="5.7109375" customWidth="1"/>
    <col min="9" max="9" width="3.7109375" customWidth="1"/>
    <col min="10" max="10" width="3.7109375" hidden="1" customWidth="1"/>
    <col min="11" max="11" width="5.85546875" customWidth="1"/>
    <col min="12" max="12" width="3.7109375" customWidth="1"/>
    <col min="13" max="13" width="3.7109375" hidden="1" customWidth="1"/>
    <col min="14" max="14" width="5.7109375" customWidth="1"/>
    <col min="15" max="15" width="3.7109375" customWidth="1"/>
    <col min="16" max="16" width="3.7109375" hidden="1" customWidth="1"/>
    <col min="17" max="17" width="5.85546875" customWidth="1"/>
    <col min="18" max="18" width="3.7109375" customWidth="1"/>
    <col min="19" max="19" width="3.7109375" hidden="1" customWidth="1"/>
    <col min="20" max="20" width="5.7109375" customWidth="1"/>
    <col min="21" max="21" width="3.7109375" customWidth="1"/>
    <col min="22" max="22" width="3.7109375" hidden="1" customWidth="1"/>
    <col min="23" max="23" width="5.7109375" customWidth="1"/>
    <col min="24" max="24" width="3.7109375" customWidth="1"/>
    <col min="25" max="25" width="3.7109375" hidden="1" customWidth="1"/>
    <col min="26" max="26" width="5.7109375" customWidth="1"/>
    <col min="27" max="28" width="4.42578125" customWidth="1"/>
    <col min="29" max="29" width="14.28515625" hidden="1" customWidth="1"/>
    <col min="30" max="30" width="7.7109375" customWidth="1"/>
    <col min="31" max="31" width="8.7109375" customWidth="1"/>
    <col min="32" max="32" width="18.140625" customWidth="1"/>
    <col min="33" max="33" width="6.7109375" style="1" customWidth="1"/>
  </cols>
  <sheetData>
    <row r="1" spans="1:33" ht="8.25" customHeight="1" thickBot="1"/>
    <row r="2" spans="1:33" ht="31.5" customHeight="1" thickBot="1">
      <c r="A2" s="2"/>
      <c r="B2" s="924" t="s">
        <v>128</v>
      </c>
      <c r="C2" s="925"/>
      <c r="D2" s="925"/>
      <c r="E2" s="925"/>
      <c r="F2" s="925"/>
      <c r="G2" s="925"/>
      <c r="H2" s="925"/>
      <c r="I2" s="925"/>
      <c r="J2" s="925"/>
      <c r="K2" s="925"/>
      <c r="L2" s="925"/>
      <c r="M2" s="925"/>
      <c r="N2" s="925"/>
      <c r="O2" s="925"/>
      <c r="P2" s="925"/>
      <c r="Q2" s="925"/>
      <c r="R2" s="925"/>
      <c r="S2" s="925"/>
      <c r="T2" s="925"/>
      <c r="U2" s="925"/>
      <c r="V2" s="925"/>
      <c r="W2" s="925"/>
      <c r="X2" s="925"/>
      <c r="Y2" s="925"/>
      <c r="Z2" s="925"/>
      <c r="AA2" s="925"/>
      <c r="AB2" s="925"/>
      <c r="AC2" s="925"/>
      <c r="AD2" s="925"/>
      <c r="AE2" s="926"/>
      <c r="AF2" s="530" t="s">
        <v>279</v>
      </c>
    </row>
    <row r="3" spans="1:33" ht="111" customHeight="1" thickBot="1">
      <c r="A3" s="2"/>
      <c r="B3" s="5">
        <v>0</v>
      </c>
      <c r="C3" s="4"/>
      <c r="D3" s="141"/>
      <c r="E3" s="358" t="s">
        <v>22</v>
      </c>
      <c r="F3" s="927"/>
      <c r="G3" s="928"/>
      <c r="H3" s="929"/>
      <c r="I3" s="921"/>
      <c r="J3" s="922"/>
      <c r="K3" s="923"/>
      <c r="L3" s="921"/>
      <c r="M3" s="922"/>
      <c r="N3" s="923"/>
      <c r="O3" s="921"/>
      <c r="P3" s="922"/>
      <c r="Q3" s="923"/>
      <c r="R3" s="921"/>
      <c r="S3" s="922"/>
      <c r="T3" s="923"/>
      <c r="U3" s="921"/>
      <c r="V3" s="922"/>
      <c r="W3" s="923"/>
      <c r="X3" s="921"/>
      <c r="Y3" s="922"/>
      <c r="Z3" s="923"/>
      <c r="AA3" s="359" t="s">
        <v>264</v>
      </c>
      <c r="AB3" s="360" t="s">
        <v>265</v>
      </c>
      <c r="AC3" s="143"/>
      <c r="AD3" s="361" t="s">
        <v>266</v>
      </c>
      <c r="AE3" s="362" t="s">
        <v>267</v>
      </c>
    </row>
    <row r="4" spans="1:33">
      <c r="A4" s="2"/>
      <c r="B4" s="372">
        <f t="shared" ref="B4:B35" si="0">SUM(B3+1)</f>
        <v>1</v>
      </c>
      <c r="C4" s="373" t="s">
        <v>2</v>
      </c>
      <c r="D4" s="374">
        <f t="shared" ref="D4:D35" si="1">IF(AA4&lt;6,0,1)</f>
        <v>1</v>
      </c>
      <c r="E4" s="902" t="s">
        <v>17</v>
      </c>
      <c r="F4" s="903">
        <v>1</v>
      </c>
      <c r="G4" s="898">
        <f t="shared" ref="G4:G35" si="2">IF(F4="","",IF(F4&gt;50,"",51-F4))</f>
        <v>50</v>
      </c>
      <c r="H4" s="905">
        <v>928</v>
      </c>
      <c r="I4" s="907">
        <v>3</v>
      </c>
      <c r="J4" s="208">
        <f t="shared" ref="J4:J35" si="3">IF(I4="","",IF(I4&gt;50,"",51-I4))</f>
        <v>48</v>
      </c>
      <c r="K4" s="205">
        <v>905</v>
      </c>
      <c r="L4" s="909">
        <v>2</v>
      </c>
      <c r="M4" s="208">
        <f t="shared" ref="M4:M35" si="4">IF(L4="","",IF(L4&gt;50,"",51-L4))</f>
        <v>49</v>
      </c>
      <c r="N4" s="349">
        <v>897</v>
      </c>
      <c r="O4" s="909">
        <v>2</v>
      </c>
      <c r="P4" s="144">
        <f t="shared" ref="P4:P35" si="5">IF(O4="","",IF(O4&gt;50,"",51-O4))</f>
        <v>49</v>
      </c>
      <c r="Q4" s="892">
        <v>883</v>
      </c>
      <c r="R4" s="145">
        <v>8</v>
      </c>
      <c r="S4" s="208">
        <f t="shared" ref="S4:S35" si="6">IF(R4="","",IF(R4&gt;50,"",51-R4))</f>
        <v>43</v>
      </c>
      <c r="T4" s="610">
        <v>805</v>
      </c>
      <c r="U4" s="912">
        <v>1</v>
      </c>
      <c r="V4" s="898">
        <f t="shared" ref="V4:V39" si="7">IF(U4="","",IF(U4&gt;50,"",51-U4))</f>
        <v>50</v>
      </c>
      <c r="W4" s="899">
        <v>962</v>
      </c>
      <c r="X4" s="832">
        <v>7</v>
      </c>
      <c r="Y4" s="144">
        <f t="shared" ref="Y4:Y35" si="8">IF(X4="","",IF(X4&gt;50,"",51-X4))</f>
        <v>44</v>
      </c>
      <c r="Z4" s="140">
        <v>833</v>
      </c>
      <c r="AA4" s="80">
        <f t="shared" ref="AA4:AA35" si="9">COUNT(X4,U4,R4,O4,L4,I4,F4)</f>
        <v>7</v>
      </c>
      <c r="AB4" s="80">
        <f t="shared" ref="AB4:AB35" si="10">SUM(G4,J4,M4,P4,S4,V4,Y4)</f>
        <v>333</v>
      </c>
      <c r="AC4" s="80">
        <f t="shared" ref="AC4:AC35" si="11">IF(AB4=0,"",SUM(AB4*1000)+AD4)</f>
        <v>333177.51428571431</v>
      </c>
      <c r="AD4" s="81">
        <f t="shared" ref="AD4:AD35" si="12">IF(AA4=0,"",AE4/5)</f>
        <v>177.51428571428571</v>
      </c>
      <c r="AE4" s="81">
        <f t="shared" ref="AE4:AE35" si="13">IF(AA4=0,"",(H4+K4+N4+Q4+T4+W4+Z4)/AA4)</f>
        <v>887.57142857142856</v>
      </c>
    </row>
    <row r="5" spans="1:33">
      <c r="A5" s="2"/>
      <c r="B5" s="372">
        <f t="shared" si="0"/>
        <v>2</v>
      </c>
      <c r="C5" s="375" t="s">
        <v>27</v>
      </c>
      <c r="D5" s="376">
        <f t="shared" si="1"/>
        <v>1</v>
      </c>
      <c r="E5" s="886" t="s">
        <v>0</v>
      </c>
      <c r="F5" s="207">
        <v>15</v>
      </c>
      <c r="G5" s="206">
        <f t="shared" si="2"/>
        <v>36</v>
      </c>
      <c r="H5" s="532">
        <v>744</v>
      </c>
      <c r="I5" s="908">
        <v>2</v>
      </c>
      <c r="J5" s="206">
        <f t="shared" si="3"/>
        <v>49</v>
      </c>
      <c r="K5" s="349">
        <v>915</v>
      </c>
      <c r="L5" s="910">
        <v>1</v>
      </c>
      <c r="M5" s="206">
        <f t="shared" si="4"/>
        <v>50</v>
      </c>
      <c r="N5" s="911">
        <v>960</v>
      </c>
      <c r="O5" s="27"/>
      <c r="P5" s="144" t="str">
        <f t="shared" si="5"/>
        <v/>
      </c>
      <c r="Q5" s="140"/>
      <c r="R5" s="363">
        <v>4</v>
      </c>
      <c r="S5" s="206">
        <f t="shared" si="6"/>
        <v>47</v>
      </c>
      <c r="T5" s="364">
        <v>854</v>
      </c>
      <c r="U5" s="207">
        <v>4</v>
      </c>
      <c r="V5" s="206">
        <f t="shared" si="7"/>
        <v>47</v>
      </c>
      <c r="W5" s="364">
        <v>889</v>
      </c>
      <c r="X5" s="363">
        <v>5</v>
      </c>
      <c r="Y5" s="144">
        <f t="shared" si="8"/>
        <v>46</v>
      </c>
      <c r="Z5" s="140">
        <v>850</v>
      </c>
      <c r="AA5" s="80">
        <f t="shared" si="9"/>
        <v>6</v>
      </c>
      <c r="AB5" s="80">
        <f t="shared" si="10"/>
        <v>275</v>
      </c>
      <c r="AC5" s="80">
        <f t="shared" si="11"/>
        <v>275173.73333333334</v>
      </c>
      <c r="AD5" s="81">
        <f t="shared" si="12"/>
        <v>173.73333333333332</v>
      </c>
      <c r="AE5" s="81">
        <f t="shared" si="13"/>
        <v>868.66666666666663</v>
      </c>
    </row>
    <row r="6" spans="1:33">
      <c r="A6" s="2"/>
      <c r="B6" s="372">
        <f t="shared" si="0"/>
        <v>3</v>
      </c>
      <c r="C6" s="606" t="s">
        <v>59</v>
      </c>
      <c r="D6" s="376">
        <f t="shared" si="1"/>
        <v>1</v>
      </c>
      <c r="E6" s="385" t="s">
        <v>17</v>
      </c>
      <c r="F6" s="149">
        <v>5</v>
      </c>
      <c r="G6" s="144">
        <f t="shared" si="2"/>
        <v>46</v>
      </c>
      <c r="H6" s="88">
        <v>847</v>
      </c>
      <c r="I6" s="254">
        <v>1</v>
      </c>
      <c r="J6" s="144">
        <f t="shared" si="3"/>
        <v>50</v>
      </c>
      <c r="K6" s="204">
        <v>945</v>
      </c>
      <c r="L6" s="27">
        <v>8</v>
      </c>
      <c r="M6" s="144">
        <f t="shared" si="4"/>
        <v>43</v>
      </c>
      <c r="N6" s="39">
        <v>831</v>
      </c>
      <c r="O6" s="27"/>
      <c r="P6" s="144" t="str">
        <f t="shared" si="5"/>
        <v/>
      </c>
      <c r="Q6" s="140"/>
      <c r="R6" s="53">
        <v>12</v>
      </c>
      <c r="S6" s="144">
        <f t="shared" si="6"/>
        <v>39</v>
      </c>
      <c r="T6" s="73">
        <v>794</v>
      </c>
      <c r="U6" s="891">
        <v>2</v>
      </c>
      <c r="V6" s="608">
        <f t="shared" si="7"/>
        <v>49</v>
      </c>
      <c r="W6" s="892">
        <v>901</v>
      </c>
      <c r="X6" s="836">
        <v>3</v>
      </c>
      <c r="Y6" s="144">
        <f t="shared" si="8"/>
        <v>48</v>
      </c>
      <c r="Z6" s="893">
        <v>863</v>
      </c>
      <c r="AA6" s="80">
        <f t="shared" si="9"/>
        <v>6</v>
      </c>
      <c r="AB6" s="80">
        <f t="shared" si="10"/>
        <v>275</v>
      </c>
      <c r="AC6" s="80">
        <f t="shared" si="11"/>
        <v>275172.7</v>
      </c>
      <c r="AD6" s="81">
        <f t="shared" si="12"/>
        <v>172.7</v>
      </c>
      <c r="AE6" s="81">
        <f t="shared" si="13"/>
        <v>863.5</v>
      </c>
      <c r="AG6"/>
    </row>
    <row r="7" spans="1:33">
      <c r="A7" s="2"/>
      <c r="B7" s="372">
        <f t="shared" si="0"/>
        <v>4</v>
      </c>
      <c r="C7" s="379" t="s">
        <v>96</v>
      </c>
      <c r="D7" s="376">
        <f t="shared" si="1"/>
        <v>1</v>
      </c>
      <c r="E7" s="380" t="s">
        <v>7</v>
      </c>
      <c r="F7" s="149">
        <v>9</v>
      </c>
      <c r="G7" s="144">
        <f t="shared" si="2"/>
        <v>42</v>
      </c>
      <c r="H7" s="88">
        <v>799</v>
      </c>
      <c r="I7" s="27">
        <v>5</v>
      </c>
      <c r="J7" s="144">
        <f t="shared" si="3"/>
        <v>46</v>
      </c>
      <c r="K7" s="39">
        <v>891</v>
      </c>
      <c r="L7" s="27">
        <v>17</v>
      </c>
      <c r="M7" s="144">
        <f t="shared" si="4"/>
        <v>34</v>
      </c>
      <c r="N7" s="39">
        <v>760</v>
      </c>
      <c r="O7" s="656">
        <v>3</v>
      </c>
      <c r="P7" s="144">
        <f t="shared" si="5"/>
        <v>48</v>
      </c>
      <c r="Q7" s="600">
        <v>883</v>
      </c>
      <c r="R7" s="888">
        <v>1</v>
      </c>
      <c r="S7" s="887">
        <f t="shared" si="6"/>
        <v>50</v>
      </c>
      <c r="T7" s="889">
        <v>959</v>
      </c>
      <c r="U7" s="149">
        <v>7</v>
      </c>
      <c r="V7" s="144">
        <f t="shared" si="7"/>
        <v>44</v>
      </c>
      <c r="W7" s="140">
        <v>847</v>
      </c>
      <c r="X7" s="27">
        <v>4</v>
      </c>
      <c r="Y7" s="144">
        <f t="shared" si="8"/>
        <v>47</v>
      </c>
      <c r="Z7" s="140">
        <v>860</v>
      </c>
      <c r="AA7" s="80">
        <f t="shared" si="9"/>
        <v>7</v>
      </c>
      <c r="AB7" s="80">
        <f t="shared" si="10"/>
        <v>311</v>
      </c>
      <c r="AC7" s="80">
        <f t="shared" si="11"/>
        <v>311171.40000000002</v>
      </c>
      <c r="AD7" s="81">
        <f t="shared" si="12"/>
        <v>171.4</v>
      </c>
      <c r="AE7" s="81">
        <f t="shared" si="13"/>
        <v>857</v>
      </c>
      <c r="AF7" s="26"/>
      <c r="AG7"/>
    </row>
    <row r="8" spans="1:33">
      <c r="A8" s="2"/>
      <c r="B8" s="372">
        <f t="shared" si="0"/>
        <v>5</v>
      </c>
      <c r="C8" s="375" t="s">
        <v>3</v>
      </c>
      <c r="D8" s="376">
        <f t="shared" si="1"/>
        <v>1</v>
      </c>
      <c r="E8" s="381" t="s">
        <v>0</v>
      </c>
      <c r="F8" s="904">
        <v>3</v>
      </c>
      <c r="G8" s="531">
        <f t="shared" si="2"/>
        <v>48</v>
      </c>
      <c r="H8" s="906">
        <v>881</v>
      </c>
      <c r="I8" s="27">
        <v>6</v>
      </c>
      <c r="J8" s="144">
        <f t="shared" si="3"/>
        <v>45</v>
      </c>
      <c r="K8" s="39">
        <v>876</v>
      </c>
      <c r="L8" s="27">
        <v>10</v>
      </c>
      <c r="M8" s="144">
        <f t="shared" si="4"/>
        <v>41</v>
      </c>
      <c r="N8" s="39">
        <v>814</v>
      </c>
      <c r="O8" s="254">
        <v>1</v>
      </c>
      <c r="P8" s="144">
        <f t="shared" si="5"/>
        <v>50</v>
      </c>
      <c r="Q8" s="204">
        <v>901</v>
      </c>
      <c r="R8" s="53">
        <v>15</v>
      </c>
      <c r="S8" s="144">
        <f t="shared" si="6"/>
        <v>36</v>
      </c>
      <c r="T8" s="58">
        <v>766</v>
      </c>
      <c r="U8" s="27">
        <v>8</v>
      </c>
      <c r="V8" s="144">
        <f t="shared" si="7"/>
        <v>43</v>
      </c>
      <c r="W8" s="39">
        <v>834</v>
      </c>
      <c r="X8" s="27">
        <v>6</v>
      </c>
      <c r="Y8" s="144">
        <f t="shared" si="8"/>
        <v>45</v>
      </c>
      <c r="Z8" s="39">
        <v>844</v>
      </c>
      <c r="AA8" s="80">
        <f t="shared" si="9"/>
        <v>7</v>
      </c>
      <c r="AB8" s="80">
        <f t="shared" si="10"/>
        <v>308</v>
      </c>
      <c r="AC8" s="80">
        <f t="shared" si="11"/>
        <v>308169.02857142856</v>
      </c>
      <c r="AD8" s="81">
        <f t="shared" si="12"/>
        <v>169.02857142857141</v>
      </c>
      <c r="AE8" s="81">
        <f t="shared" si="13"/>
        <v>845.14285714285711</v>
      </c>
      <c r="AG8"/>
    </row>
    <row r="9" spans="1:33">
      <c r="A9" s="2"/>
      <c r="B9" s="372">
        <f t="shared" si="0"/>
        <v>6</v>
      </c>
      <c r="C9" s="901" t="s">
        <v>66</v>
      </c>
      <c r="D9" s="376">
        <f t="shared" si="1"/>
        <v>0</v>
      </c>
      <c r="E9" s="393" t="s">
        <v>4</v>
      </c>
      <c r="F9" s="897">
        <v>4</v>
      </c>
      <c r="G9" s="144">
        <f t="shared" si="2"/>
        <v>47</v>
      </c>
      <c r="H9" s="89">
        <v>860</v>
      </c>
      <c r="I9" s="27">
        <v>8</v>
      </c>
      <c r="J9" s="144">
        <f t="shared" si="3"/>
        <v>43</v>
      </c>
      <c r="K9" s="39">
        <v>833</v>
      </c>
      <c r="L9" s="27">
        <v>12</v>
      </c>
      <c r="M9" s="144">
        <f t="shared" si="4"/>
        <v>39</v>
      </c>
      <c r="N9" s="39">
        <v>793</v>
      </c>
      <c r="O9" s="27"/>
      <c r="P9" s="144" t="str">
        <f t="shared" si="5"/>
        <v/>
      </c>
      <c r="Q9" s="39"/>
      <c r="R9" s="53"/>
      <c r="S9" s="144" t="str">
        <f t="shared" si="6"/>
        <v/>
      </c>
      <c r="T9" s="58"/>
      <c r="U9" s="27">
        <v>11</v>
      </c>
      <c r="V9" s="144">
        <f t="shared" si="7"/>
        <v>40</v>
      </c>
      <c r="W9" s="39">
        <v>814</v>
      </c>
      <c r="X9" s="255">
        <v>2</v>
      </c>
      <c r="Y9" s="144">
        <f t="shared" si="8"/>
        <v>49</v>
      </c>
      <c r="Z9" s="205">
        <v>888</v>
      </c>
      <c r="AA9" s="82">
        <f t="shared" si="9"/>
        <v>5</v>
      </c>
      <c r="AB9" s="80">
        <f t="shared" si="10"/>
        <v>218</v>
      </c>
      <c r="AC9" s="80">
        <f t="shared" si="11"/>
        <v>218167.52</v>
      </c>
      <c r="AD9" s="81">
        <f t="shared" si="12"/>
        <v>167.52</v>
      </c>
      <c r="AE9" s="81">
        <f t="shared" si="13"/>
        <v>837.6</v>
      </c>
      <c r="AG9"/>
    </row>
    <row r="10" spans="1:33">
      <c r="A10" s="2"/>
      <c r="B10" s="372">
        <f t="shared" si="0"/>
        <v>7</v>
      </c>
      <c r="C10" s="379" t="s">
        <v>60</v>
      </c>
      <c r="D10" s="376">
        <f t="shared" si="1"/>
        <v>0</v>
      </c>
      <c r="E10" s="380" t="s">
        <v>7</v>
      </c>
      <c r="F10" s="27">
        <v>13</v>
      </c>
      <c r="G10" s="144">
        <f t="shared" si="2"/>
        <v>38</v>
      </c>
      <c r="H10" s="39">
        <v>755</v>
      </c>
      <c r="I10" s="27">
        <v>14</v>
      </c>
      <c r="J10" s="144">
        <f t="shared" si="3"/>
        <v>37</v>
      </c>
      <c r="K10" s="39">
        <v>790</v>
      </c>
      <c r="L10" s="27"/>
      <c r="M10" s="144" t="str">
        <f t="shared" si="4"/>
        <v/>
      </c>
      <c r="N10" s="39"/>
      <c r="O10" s="27"/>
      <c r="P10" s="144" t="str">
        <f t="shared" si="5"/>
        <v/>
      </c>
      <c r="Q10" s="39"/>
      <c r="R10" s="607">
        <v>2</v>
      </c>
      <c r="S10" s="608">
        <f t="shared" si="6"/>
        <v>49</v>
      </c>
      <c r="T10" s="609">
        <v>912</v>
      </c>
      <c r="U10" s="27">
        <v>9</v>
      </c>
      <c r="V10" s="144">
        <f t="shared" si="7"/>
        <v>42</v>
      </c>
      <c r="W10" s="39">
        <v>823</v>
      </c>
      <c r="X10" s="27">
        <v>12</v>
      </c>
      <c r="Y10" s="144">
        <f t="shared" si="8"/>
        <v>39</v>
      </c>
      <c r="Z10" s="39">
        <v>802</v>
      </c>
      <c r="AA10" s="82">
        <f t="shared" si="9"/>
        <v>5</v>
      </c>
      <c r="AB10" s="80">
        <f t="shared" si="10"/>
        <v>205</v>
      </c>
      <c r="AC10" s="80">
        <f t="shared" si="11"/>
        <v>205163.28</v>
      </c>
      <c r="AD10" s="81">
        <f t="shared" si="12"/>
        <v>163.28</v>
      </c>
      <c r="AE10" s="81">
        <f t="shared" si="13"/>
        <v>816.4</v>
      </c>
      <c r="AG10"/>
    </row>
    <row r="11" spans="1:33">
      <c r="A11" s="2"/>
      <c r="B11" s="372">
        <f t="shared" si="0"/>
        <v>8</v>
      </c>
      <c r="C11" s="377" t="s">
        <v>82</v>
      </c>
      <c r="D11" s="376">
        <f t="shared" si="1"/>
        <v>1</v>
      </c>
      <c r="E11" s="378" t="s">
        <v>6</v>
      </c>
      <c r="F11" s="27">
        <v>10</v>
      </c>
      <c r="G11" s="144">
        <f t="shared" si="2"/>
        <v>41</v>
      </c>
      <c r="H11" s="39">
        <v>796</v>
      </c>
      <c r="I11" s="27">
        <v>11</v>
      </c>
      <c r="J11" s="144">
        <f t="shared" si="3"/>
        <v>40</v>
      </c>
      <c r="K11" s="39">
        <v>815</v>
      </c>
      <c r="L11" s="255">
        <v>3</v>
      </c>
      <c r="M11" s="144">
        <f t="shared" si="4"/>
        <v>48</v>
      </c>
      <c r="N11" s="584">
        <v>895</v>
      </c>
      <c r="O11" s="27">
        <v>30</v>
      </c>
      <c r="P11" s="144">
        <f t="shared" si="5"/>
        <v>21</v>
      </c>
      <c r="Q11" s="39">
        <v>664</v>
      </c>
      <c r="R11" s="585">
        <v>3</v>
      </c>
      <c r="S11" s="586">
        <f t="shared" si="6"/>
        <v>48</v>
      </c>
      <c r="T11" s="890">
        <v>858</v>
      </c>
      <c r="U11" s="27">
        <v>5</v>
      </c>
      <c r="V11" s="144">
        <f t="shared" si="7"/>
        <v>46</v>
      </c>
      <c r="W11" s="39">
        <v>863</v>
      </c>
      <c r="X11" s="27">
        <v>10</v>
      </c>
      <c r="Y11" s="144">
        <f t="shared" si="8"/>
        <v>41</v>
      </c>
      <c r="Z11" s="39">
        <v>809</v>
      </c>
      <c r="AA11" s="82">
        <f t="shared" si="9"/>
        <v>7</v>
      </c>
      <c r="AB11" s="80">
        <f t="shared" si="10"/>
        <v>285</v>
      </c>
      <c r="AC11" s="80">
        <f t="shared" si="11"/>
        <v>285162.85714285716</v>
      </c>
      <c r="AD11" s="81">
        <f t="shared" si="12"/>
        <v>162.85714285714286</v>
      </c>
      <c r="AE11" s="81">
        <f t="shared" si="13"/>
        <v>814.28571428571433</v>
      </c>
      <c r="AG11"/>
    </row>
    <row r="12" spans="1:33">
      <c r="A12" s="2"/>
      <c r="B12" s="372">
        <f t="shared" si="0"/>
        <v>9</v>
      </c>
      <c r="C12" s="382" t="s">
        <v>68</v>
      </c>
      <c r="D12" s="376">
        <f t="shared" si="1"/>
        <v>1</v>
      </c>
      <c r="E12" s="383" t="s">
        <v>4</v>
      </c>
      <c r="F12" s="27">
        <v>8</v>
      </c>
      <c r="G12" s="144">
        <f t="shared" si="2"/>
        <v>43</v>
      </c>
      <c r="H12" s="39">
        <v>814</v>
      </c>
      <c r="I12" s="27">
        <v>9</v>
      </c>
      <c r="J12" s="144">
        <f t="shared" si="3"/>
        <v>42</v>
      </c>
      <c r="K12" s="39">
        <v>831</v>
      </c>
      <c r="L12" s="27">
        <v>7</v>
      </c>
      <c r="M12" s="144">
        <f t="shared" si="4"/>
        <v>44</v>
      </c>
      <c r="N12" s="39">
        <v>831</v>
      </c>
      <c r="O12" s="27"/>
      <c r="P12" s="144" t="str">
        <f t="shared" si="5"/>
        <v/>
      </c>
      <c r="Q12" s="39"/>
      <c r="R12" s="53">
        <v>17</v>
      </c>
      <c r="S12" s="144">
        <f t="shared" si="6"/>
        <v>34</v>
      </c>
      <c r="T12" s="58">
        <v>751</v>
      </c>
      <c r="U12" s="27">
        <v>6</v>
      </c>
      <c r="V12" s="144">
        <f t="shared" si="7"/>
        <v>45</v>
      </c>
      <c r="W12" s="39">
        <v>854</v>
      </c>
      <c r="X12" s="27">
        <v>15</v>
      </c>
      <c r="Y12" s="144">
        <f t="shared" si="8"/>
        <v>36</v>
      </c>
      <c r="Z12" s="39">
        <v>790</v>
      </c>
      <c r="AA12" s="82">
        <f t="shared" si="9"/>
        <v>6</v>
      </c>
      <c r="AB12" s="80">
        <f t="shared" si="10"/>
        <v>244</v>
      </c>
      <c r="AC12" s="80">
        <f t="shared" si="11"/>
        <v>244162.36666666667</v>
      </c>
      <c r="AD12" s="81">
        <f t="shared" si="12"/>
        <v>162.36666666666667</v>
      </c>
      <c r="AE12" s="81">
        <f t="shared" si="13"/>
        <v>811.83333333333337</v>
      </c>
      <c r="AG12"/>
    </row>
    <row r="13" spans="1:33">
      <c r="A13" s="2"/>
      <c r="B13" s="384">
        <f t="shared" si="0"/>
        <v>10</v>
      </c>
      <c r="C13" s="386" t="s">
        <v>9</v>
      </c>
      <c r="D13" s="376">
        <f t="shared" si="1"/>
        <v>1</v>
      </c>
      <c r="E13" s="378" t="s">
        <v>6</v>
      </c>
      <c r="F13" s="650">
        <v>2</v>
      </c>
      <c r="G13" s="181">
        <f t="shared" si="2"/>
        <v>49</v>
      </c>
      <c r="H13" s="349">
        <v>895</v>
      </c>
      <c r="I13" s="27">
        <v>10</v>
      </c>
      <c r="J13" s="144">
        <f t="shared" si="3"/>
        <v>41</v>
      </c>
      <c r="K13" s="39">
        <v>826</v>
      </c>
      <c r="L13" s="27">
        <v>4</v>
      </c>
      <c r="M13" s="144">
        <f t="shared" si="4"/>
        <v>47</v>
      </c>
      <c r="N13" s="39">
        <v>859</v>
      </c>
      <c r="O13" s="27">
        <v>4</v>
      </c>
      <c r="P13" s="144">
        <f t="shared" si="5"/>
        <v>47</v>
      </c>
      <c r="Q13" s="39">
        <v>854</v>
      </c>
      <c r="R13" s="53"/>
      <c r="S13" s="144" t="str">
        <f t="shared" si="6"/>
        <v/>
      </c>
      <c r="T13" s="58"/>
      <c r="U13" s="27">
        <v>31</v>
      </c>
      <c r="V13" s="144">
        <f t="shared" si="7"/>
        <v>20</v>
      </c>
      <c r="W13" s="39">
        <v>657</v>
      </c>
      <c r="X13" s="27">
        <v>30</v>
      </c>
      <c r="Y13" s="144">
        <f t="shared" si="8"/>
        <v>21</v>
      </c>
      <c r="Z13" s="39">
        <v>669</v>
      </c>
      <c r="AA13" s="82">
        <f t="shared" si="9"/>
        <v>6</v>
      </c>
      <c r="AB13" s="80">
        <f t="shared" si="10"/>
        <v>225</v>
      </c>
      <c r="AC13" s="80">
        <f t="shared" si="11"/>
        <v>225158.66666666666</v>
      </c>
      <c r="AD13" s="81">
        <f t="shared" si="12"/>
        <v>158.66666666666669</v>
      </c>
      <c r="AE13" s="81">
        <f t="shared" si="13"/>
        <v>793.33333333333337</v>
      </c>
      <c r="AG13"/>
    </row>
    <row r="14" spans="1:33">
      <c r="A14" s="2"/>
      <c r="B14" s="384">
        <f t="shared" si="0"/>
        <v>11</v>
      </c>
      <c r="C14" s="894" t="s">
        <v>67</v>
      </c>
      <c r="D14" s="376">
        <f t="shared" si="1"/>
        <v>1</v>
      </c>
      <c r="E14" s="383" t="s">
        <v>4</v>
      </c>
      <c r="F14" s="27">
        <v>25</v>
      </c>
      <c r="G14" s="144">
        <f t="shared" si="2"/>
        <v>26</v>
      </c>
      <c r="H14" s="39">
        <v>680</v>
      </c>
      <c r="I14" s="27">
        <v>13</v>
      </c>
      <c r="J14" s="144">
        <f t="shared" si="3"/>
        <v>38</v>
      </c>
      <c r="K14" s="39">
        <v>796</v>
      </c>
      <c r="L14" s="27">
        <v>15</v>
      </c>
      <c r="M14" s="144">
        <f t="shared" si="4"/>
        <v>36</v>
      </c>
      <c r="N14" s="39">
        <v>768</v>
      </c>
      <c r="O14" s="27">
        <v>8</v>
      </c>
      <c r="P14" s="144">
        <f t="shared" si="5"/>
        <v>43</v>
      </c>
      <c r="Q14" s="39">
        <v>807</v>
      </c>
      <c r="R14" s="53">
        <v>7</v>
      </c>
      <c r="S14" s="144">
        <f t="shared" si="6"/>
        <v>44</v>
      </c>
      <c r="T14" s="58">
        <v>822</v>
      </c>
      <c r="U14" s="656">
        <v>3</v>
      </c>
      <c r="V14" s="586">
        <f t="shared" si="7"/>
        <v>48</v>
      </c>
      <c r="W14" s="584">
        <v>894</v>
      </c>
      <c r="X14" s="27">
        <v>17</v>
      </c>
      <c r="Y14" s="144">
        <f t="shared" si="8"/>
        <v>34</v>
      </c>
      <c r="Z14" s="39">
        <v>761</v>
      </c>
      <c r="AA14" s="82">
        <f t="shared" si="9"/>
        <v>7</v>
      </c>
      <c r="AB14" s="80">
        <f t="shared" si="10"/>
        <v>269</v>
      </c>
      <c r="AC14" s="80">
        <f t="shared" si="11"/>
        <v>269157.94285714283</v>
      </c>
      <c r="AD14" s="81">
        <f t="shared" si="12"/>
        <v>157.94285714285712</v>
      </c>
      <c r="AE14" s="81">
        <f t="shared" si="13"/>
        <v>789.71428571428567</v>
      </c>
      <c r="AG14"/>
    </row>
    <row r="15" spans="1:33">
      <c r="A15" s="2"/>
      <c r="B15" s="384">
        <f t="shared" si="0"/>
        <v>12</v>
      </c>
      <c r="C15" s="597" t="s">
        <v>34</v>
      </c>
      <c r="D15" s="376">
        <f t="shared" si="1"/>
        <v>1</v>
      </c>
      <c r="E15" s="381" t="s">
        <v>0</v>
      </c>
      <c r="F15" s="27">
        <v>11</v>
      </c>
      <c r="G15" s="144">
        <f t="shared" si="2"/>
        <v>40</v>
      </c>
      <c r="H15" s="39">
        <v>786</v>
      </c>
      <c r="I15" s="27">
        <v>12</v>
      </c>
      <c r="J15" s="144">
        <f t="shared" si="3"/>
        <v>39</v>
      </c>
      <c r="K15" s="39">
        <v>806</v>
      </c>
      <c r="L15" s="207">
        <v>18</v>
      </c>
      <c r="M15" s="144">
        <f t="shared" si="4"/>
        <v>33</v>
      </c>
      <c r="N15" s="39">
        <v>742</v>
      </c>
      <c r="O15" s="27">
        <v>9</v>
      </c>
      <c r="P15" s="144">
        <f t="shared" si="5"/>
        <v>42</v>
      </c>
      <c r="Q15" s="39">
        <v>791</v>
      </c>
      <c r="R15" s="53">
        <v>9</v>
      </c>
      <c r="S15" s="144">
        <f t="shared" si="6"/>
        <v>42</v>
      </c>
      <c r="T15" s="58">
        <v>802</v>
      </c>
      <c r="U15" s="27">
        <v>18</v>
      </c>
      <c r="V15" s="144">
        <f t="shared" si="7"/>
        <v>33</v>
      </c>
      <c r="W15" s="39">
        <v>728</v>
      </c>
      <c r="X15" s="27">
        <v>13</v>
      </c>
      <c r="Y15" s="144">
        <f t="shared" si="8"/>
        <v>38</v>
      </c>
      <c r="Z15" s="39">
        <v>796</v>
      </c>
      <c r="AA15" s="82">
        <f t="shared" si="9"/>
        <v>7</v>
      </c>
      <c r="AB15" s="80">
        <f t="shared" si="10"/>
        <v>267</v>
      </c>
      <c r="AC15" s="80">
        <f t="shared" si="11"/>
        <v>267155.74285714288</v>
      </c>
      <c r="AD15" s="81">
        <f t="shared" si="12"/>
        <v>155.74285714285713</v>
      </c>
      <c r="AE15" s="81">
        <f t="shared" si="13"/>
        <v>778.71428571428567</v>
      </c>
      <c r="AG15"/>
    </row>
    <row r="16" spans="1:33">
      <c r="A16" s="2"/>
      <c r="B16" s="384">
        <f t="shared" si="0"/>
        <v>13</v>
      </c>
      <c r="C16" s="386" t="s">
        <v>5</v>
      </c>
      <c r="D16" s="376">
        <f t="shared" si="1"/>
        <v>1</v>
      </c>
      <c r="E16" s="378" t="s">
        <v>6</v>
      </c>
      <c r="F16" s="27">
        <v>14</v>
      </c>
      <c r="G16" s="144">
        <f t="shared" si="2"/>
        <v>37</v>
      </c>
      <c r="H16" s="39">
        <v>752</v>
      </c>
      <c r="I16" s="27">
        <v>7</v>
      </c>
      <c r="J16" s="144">
        <f t="shared" si="3"/>
        <v>44</v>
      </c>
      <c r="K16" s="39">
        <v>860</v>
      </c>
      <c r="L16" s="27">
        <v>25</v>
      </c>
      <c r="M16" s="144">
        <f t="shared" si="4"/>
        <v>26</v>
      </c>
      <c r="N16" s="39">
        <v>705</v>
      </c>
      <c r="O16" s="27">
        <v>5</v>
      </c>
      <c r="P16" s="144">
        <f t="shared" si="5"/>
        <v>46</v>
      </c>
      <c r="Q16" s="39">
        <v>842</v>
      </c>
      <c r="R16" s="53">
        <v>30</v>
      </c>
      <c r="S16" s="144">
        <f t="shared" si="6"/>
        <v>21</v>
      </c>
      <c r="T16" s="58">
        <v>683</v>
      </c>
      <c r="U16" s="27">
        <v>15</v>
      </c>
      <c r="V16" s="144">
        <f t="shared" si="7"/>
        <v>36</v>
      </c>
      <c r="W16" s="39">
        <v>762</v>
      </c>
      <c r="X16" s="27">
        <v>9</v>
      </c>
      <c r="Y16" s="144">
        <f t="shared" si="8"/>
        <v>42</v>
      </c>
      <c r="Z16" s="39">
        <v>810</v>
      </c>
      <c r="AA16" s="82">
        <f t="shared" si="9"/>
        <v>7</v>
      </c>
      <c r="AB16" s="80">
        <f t="shared" si="10"/>
        <v>252</v>
      </c>
      <c r="AC16" s="80">
        <f t="shared" si="11"/>
        <v>252154.6857142857</v>
      </c>
      <c r="AD16" s="81">
        <f t="shared" si="12"/>
        <v>154.68571428571428</v>
      </c>
      <c r="AE16" s="81">
        <f t="shared" si="13"/>
        <v>773.42857142857144</v>
      </c>
      <c r="AG16"/>
    </row>
    <row r="17" spans="1:33">
      <c r="A17" s="2"/>
      <c r="B17" s="384">
        <f t="shared" si="0"/>
        <v>14</v>
      </c>
      <c r="C17" s="597" t="s">
        <v>35</v>
      </c>
      <c r="D17" s="376">
        <f t="shared" si="1"/>
        <v>1</v>
      </c>
      <c r="E17" s="381" t="s">
        <v>0</v>
      </c>
      <c r="F17" s="27">
        <v>12</v>
      </c>
      <c r="G17" s="144">
        <f t="shared" si="2"/>
        <v>39</v>
      </c>
      <c r="H17" s="39">
        <v>777</v>
      </c>
      <c r="I17" s="27">
        <v>23</v>
      </c>
      <c r="J17" s="144">
        <f t="shared" si="3"/>
        <v>28</v>
      </c>
      <c r="K17" s="39">
        <v>701</v>
      </c>
      <c r="L17" s="27">
        <v>13</v>
      </c>
      <c r="M17" s="144">
        <f t="shared" si="4"/>
        <v>38</v>
      </c>
      <c r="N17" s="39">
        <v>770</v>
      </c>
      <c r="O17" s="27">
        <v>16</v>
      </c>
      <c r="P17" s="144">
        <f t="shared" si="5"/>
        <v>35</v>
      </c>
      <c r="Q17" s="39">
        <v>738</v>
      </c>
      <c r="R17" s="53">
        <v>14</v>
      </c>
      <c r="S17" s="144">
        <f t="shared" si="6"/>
        <v>37</v>
      </c>
      <c r="T17" s="58">
        <v>776</v>
      </c>
      <c r="U17" s="27">
        <v>10</v>
      </c>
      <c r="V17" s="144">
        <f t="shared" si="7"/>
        <v>41</v>
      </c>
      <c r="W17" s="39">
        <v>814</v>
      </c>
      <c r="X17" s="27">
        <v>22</v>
      </c>
      <c r="Y17" s="144">
        <f t="shared" si="8"/>
        <v>29</v>
      </c>
      <c r="Z17" s="39">
        <v>722</v>
      </c>
      <c r="AA17" s="82">
        <f t="shared" si="9"/>
        <v>7</v>
      </c>
      <c r="AB17" s="80">
        <f t="shared" si="10"/>
        <v>247</v>
      </c>
      <c r="AC17" s="80">
        <f t="shared" si="11"/>
        <v>247151.37142857144</v>
      </c>
      <c r="AD17" s="81">
        <f t="shared" si="12"/>
        <v>151.37142857142857</v>
      </c>
      <c r="AE17" s="81">
        <f t="shared" si="13"/>
        <v>756.85714285714289</v>
      </c>
      <c r="AG17"/>
    </row>
    <row r="18" spans="1:33">
      <c r="A18" s="2"/>
      <c r="B18" s="384">
        <f t="shared" si="0"/>
        <v>15</v>
      </c>
      <c r="C18" s="578" t="s">
        <v>16</v>
      </c>
      <c r="D18" s="376">
        <f t="shared" si="1"/>
        <v>1</v>
      </c>
      <c r="E18" s="385" t="s">
        <v>17</v>
      </c>
      <c r="F18" s="27">
        <v>18</v>
      </c>
      <c r="G18" s="144">
        <f t="shared" si="2"/>
        <v>33</v>
      </c>
      <c r="H18" s="39">
        <v>727</v>
      </c>
      <c r="I18" s="27">
        <v>20</v>
      </c>
      <c r="J18" s="144">
        <f t="shared" si="3"/>
        <v>31</v>
      </c>
      <c r="K18" s="39">
        <v>719</v>
      </c>
      <c r="L18" s="27">
        <v>14</v>
      </c>
      <c r="M18" s="144">
        <f t="shared" si="4"/>
        <v>37</v>
      </c>
      <c r="N18" s="39">
        <v>770</v>
      </c>
      <c r="O18" s="27">
        <v>28</v>
      </c>
      <c r="P18" s="144">
        <f t="shared" si="5"/>
        <v>23</v>
      </c>
      <c r="Q18" s="39">
        <v>666</v>
      </c>
      <c r="R18" s="53">
        <v>13</v>
      </c>
      <c r="S18" s="144">
        <f t="shared" si="6"/>
        <v>38</v>
      </c>
      <c r="T18" s="58">
        <v>782</v>
      </c>
      <c r="U18" s="27">
        <v>13</v>
      </c>
      <c r="V18" s="144">
        <f t="shared" si="7"/>
        <v>38</v>
      </c>
      <c r="W18" s="39">
        <v>775</v>
      </c>
      <c r="X18" s="27">
        <v>8</v>
      </c>
      <c r="Y18" s="144">
        <f t="shared" si="8"/>
        <v>43</v>
      </c>
      <c r="Z18" s="39">
        <v>816</v>
      </c>
      <c r="AA18" s="82">
        <f t="shared" si="9"/>
        <v>7</v>
      </c>
      <c r="AB18" s="80">
        <f t="shared" si="10"/>
        <v>243</v>
      </c>
      <c r="AC18" s="80">
        <f t="shared" si="11"/>
        <v>243150.14285714287</v>
      </c>
      <c r="AD18" s="81">
        <f t="shared" si="12"/>
        <v>150.14285714285714</v>
      </c>
      <c r="AE18" s="81">
        <f t="shared" si="13"/>
        <v>750.71428571428567</v>
      </c>
      <c r="AG18"/>
    </row>
    <row r="19" spans="1:33">
      <c r="A19" s="2"/>
      <c r="B19" s="384">
        <f t="shared" si="0"/>
        <v>16</v>
      </c>
      <c r="C19" s="386" t="s">
        <v>10</v>
      </c>
      <c r="D19" s="376">
        <f t="shared" si="1"/>
        <v>0</v>
      </c>
      <c r="E19" s="378" t="s">
        <v>6</v>
      </c>
      <c r="F19" s="27">
        <v>7</v>
      </c>
      <c r="G19" s="144">
        <f t="shared" si="2"/>
        <v>44</v>
      </c>
      <c r="H19" s="39">
        <v>825</v>
      </c>
      <c r="I19" s="27">
        <v>19</v>
      </c>
      <c r="J19" s="144">
        <f t="shared" si="3"/>
        <v>32</v>
      </c>
      <c r="K19" s="39">
        <v>728</v>
      </c>
      <c r="L19" s="27">
        <v>20</v>
      </c>
      <c r="M19" s="144">
        <f t="shared" si="4"/>
        <v>31</v>
      </c>
      <c r="N19" s="39">
        <v>733</v>
      </c>
      <c r="O19" s="27">
        <v>20</v>
      </c>
      <c r="P19" s="144">
        <f t="shared" si="5"/>
        <v>31</v>
      </c>
      <c r="Q19" s="39">
        <v>723</v>
      </c>
      <c r="R19" s="53">
        <v>18</v>
      </c>
      <c r="S19" s="144">
        <f t="shared" si="6"/>
        <v>33</v>
      </c>
      <c r="T19" s="58">
        <v>725</v>
      </c>
      <c r="U19" s="27"/>
      <c r="V19" s="144" t="str">
        <f t="shared" si="7"/>
        <v/>
      </c>
      <c r="W19" s="39"/>
      <c r="X19" s="27"/>
      <c r="Y19" s="144" t="str">
        <f t="shared" si="8"/>
        <v/>
      </c>
      <c r="Z19" s="39"/>
      <c r="AA19" s="82">
        <f t="shared" si="9"/>
        <v>5</v>
      </c>
      <c r="AB19" s="80">
        <f t="shared" si="10"/>
        <v>171</v>
      </c>
      <c r="AC19" s="80">
        <f t="shared" si="11"/>
        <v>171149.36</v>
      </c>
      <c r="AD19" s="81">
        <f t="shared" si="12"/>
        <v>149.35999999999999</v>
      </c>
      <c r="AE19" s="81">
        <f t="shared" si="13"/>
        <v>746.8</v>
      </c>
      <c r="AG19"/>
    </row>
    <row r="20" spans="1:33">
      <c r="A20" s="2"/>
      <c r="B20" s="384">
        <f t="shared" si="0"/>
        <v>17</v>
      </c>
      <c r="C20" s="375" t="s">
        <v>78</v>
      </c>
      <c r="D20" s="376">
        <f t="shared" si="1"/>
        <v>1</v>
      </c>
      <c r="E20" s="381" t="s">
        <v>0</v>
      </c>
      <c r="F20" s="27">
        <v>19</v>
      </c>
      <c r="G20" s="144">
        <f t="shared" si="2"/>
        <v>32</v>
      </c>
      <c r="H20" s="39">
        <v>720</v>
      </c>
      <c r="I20" s="38">
        <v>24</v>
      </c>
      <c r="J20" s="144">
        <f t="shared" si="3"/>
        <v>27</v>
      </c>
      <c r="K20" s="39">
        <v>693</v>
      </c>
      <c r="L20" s="27">
        <v>21</v>
      </c>
      <c r="M20" s="144">
        <f t="shared" si="4"/>
        <v>30</v>
      </c>
      <c r="N20" s="39">
        <v>727</v>
      </c>
      <c r="O20" s="27">
        <v>6</v>
      </c>
      <c r="P20" s="144">
        <f t="shared" si="5"/>
        <v>45</v>
      </c>
      <c r="Q20" s="39">
        <v>842</v>
      </c>
      <c r="R20" s="53">
        <v>35</v>
      </c>
      <c r="S20" s="144">
        <f t="shared" si="6"/>
        <v>16</v>
      </c>
      <c r="T20" s="58">
        <v>668</v>
      </c>
      <c r="U20" s="27"/>
      <c r="V20" s="144" t="str">
        <f t="shared" si="7"/>
        <v/>
      </c>
      <c r="W20" s="39"/>
      <c r="X20" s="27">
        <v>19</v>
      </c>
      <c r="Y20" s="144">
        <f t="shared" si="8"/>
        <v>32</v>
      </c>
      <c r="Z20" s="39">
        <v>755</v>
      </c>
      <c r="AA20" s="82">
        <f t="shared" si="9"/>
        <v>6</v>
      </c>
      <c r="AB20" s="80">
        <f t="shared" si="10"/>
        <v>182</v>
      </c>
      <c r="AC20" s="80">
        <f t="shared" si="11"/>
        <v>182146.83333333334</v>
      </c>
      <c r="AD20" s="81">
        <f t="shared" si="12"/>
        <v>146.83333333333331</v>
      </c>
      <c r="AE20" s="81">
        <f t="shared" si="13"/>
        <v>734.16666666666663</v>
      </c>
      <c r="AG20"/>
    </row>
    <row r="21" spans="1:33">
      <c r="A21" s="2"/>
      <c r="B21" s="384">
        <f t="shared" si="0"/>
        <v>18</v>
      </c>
      <c r="C21" s="377" t="s">
        <v>36</v>
      </c>
      <c r="D21" s="376">
        <f t="shared" si="1"/>
        <v>0</v>
      </c>
      <c r="E21" s="378" t="s">
        <v>6</v>
      </c>
      <c r="F21" s="27">
        <v>17</v>
      </c>
      <c r="G21" s="144">
        <f t="shared" si="2"/>
        <v>34</v>
      </c>
      <c r="H21" s="39">
        <v>737</v>
      </c>
      <c r="I21" s="38"/>
      <c r="J21" s="144" t="str">
        <f t="shared" si="3"/>
        <v/>
      </c>
      <c r="K21" s="39"/>
      <c r="L21" s="27"/>
      <c r="M21" s="144" t="str">
        <f t="shared" si="4"/>
        <v/>
      </c>
      <c r="N21" s="39"/>
      <c r="O21" s="27">
        <v>17</v>
      </c>
      <c r="P21" s="144">
        <f t="shared" si="5"/>
        <v>34</v>
      </c>
      <c r="Q21" s="39">
        <v>725</v>
      </c>
      <c r="R21" s="53">
        <v>26</v>
      </c>
      <c r="S21" s="144">
        <f t="shared" si="6"/>
        <v>25</v>
      </c>
      <c r="T21" s="58">
        <v>703</v>
      </c>
      <c r="U21" s="27">
        <v>27</v>
      </c>
      <c r="V21" s="144">
        <f t="shared" si="7"/>
        <v>24</v>
      </c>
      <c r="W21" s="39">
        <v>677</v>
      </c>
      <c r="X21" s="27">
        <v>11</v>
      </c>
      <c r="Y21" s="144">
        <f t="shared" si="8"/>
        <v>40</v>
      </c>
      <c r="Z21" s="39">
        <v>803</v>
      </c>
      <c r="AA21" s="82">
        <f t="shared" si="9"/>
        <v>5</v>
      </c>
      <c r="AB21" s="80">
        <f t="shared" si="10"/>
        <v>157</v>
      </c>
      <c r="AC21" s="80">
        <f t="shared" si="11"/>
        <v>157145.79999999999</v>
      </c>
      <c r="AD21" s="81">
        <f t="shared" si="12"/>
        <v>145.80000000000001</v>
      </c>
      <c r="AE21" s="81">
        <f t="shared" si="13"/>
        <v>729</v>
      </c>
      <c r="AG21"/>
    </row>
    <row r="22" spans="1:33">
      <c r="A22" s="2"/>
      <c r="B22" s="384">
        <f t="shared" si="0"/>
        <v>19</v>
      </c>
      <c r="C22" s="373" t="s">
        <v>220</v>
      </c>
      <c r="D22" s="376">
        <f t="shared" si="1"/>
        <v>0</v>
      </c>
      <c r="E22" s="385" t="s">
        <v>17</v>
      </c>
      <c r="F22" s="27"/>
      <c r="G22" s="144" t="str">
        <f t="shared" si="2"/>
        <v/>
      </c>
      <c r="H22" s="39"/>
      <c r="I22" s="38">
        <v>26</v>
      </c>
      <c r="J22" s="144">
        <f t="shared" si="3"/>
        <v>25</v>
      </c>
      <c r="K22" s="40">
        <v>689</v>
      </c>
      <c r="L22" s="27">
        <v>16</v>
      </c>
      <c r="M22" s="144">
        <f t="shared" si="4"/>
        <v>35</v>
      </c>
      <c r="N22" s="39">
        <v>767</v>
      </c>
      <c r="O22" s="27">
        <v>22</v>
      </c>
      <c r="P22" s="144">
        <f t="shared" si="5"/>
        <v>29</v>
      </c>
      <c r="Q22" s="39">
        <v>703</v>
      </c>
      <c r="R22" s="53"/>
      <c r="S22" s="144" t="str">
        <f t="shared" si="6"/>
        <v/>
      </c>
      <c r="T22" s="58"/>
      <c r="U22" s="27">
        <v>17</v>
      </c>
      <c r="V22" s="144">
        <f t="shared" si="7"/>
        <v>34</v>
      </c>
      <c r="W22" s="39">
        <v>730</v>
      </c>
      <c r="X22" s="27">
        <v>21</v>
      </c>
      <c r="Y22" s="144">
        <f t="shared" si="8"/>
        <v>30</v>
      </c>
      <c r="Z22" s="39">
        <v>729</v>
      </c>
      <c r="AA22" s="82">
        <f t="shared" si="9"/>
        <v>5</v>
      </c>
      <c r="AB22" s="80">
        <f t="shared" si="10"/>
        <v>153</v>
      </c>
      <c r="AC22" s="80">
        <f t="shared" si="11"/>
        <v>153144.72</v>
      </c>
      <c r="AD22" s="81">
        <f t="shared" si="12"/>
        <v>144.72</v>
      </c>
      <c r="AE22" s="81">
        <f t="shared" si="13"/>
        <v>723.6</v>
      </c>
      <c r="AG22"/>
    </row>
    <row r="23" spans="1:33">
      <c r="A23" s="2"/>
      <c r="B23" s="384">
        <f t="shared" si="0"/>
        <v>20</v>
      </c>
      <c r="C23" s="900" t="s">
        <v>106</v>
      </c>
      <c r="D23" s="376">
        <f t="shared" si="1"/>
        <v>0</v>
      </c>
      <c r="E23" s="380" t="s">
        <v>7</v>
      </c>
      <c r="F23" s="27">
        <v>37</v>
      </c>
      <c r="G23" s="144">
        <f t="shared" si="2"/>
        <v>14</v>
      </c>
      <c r="H23" s="39">
        <v>616</v>
      </c>
      <c r="I23" s="38">
        <v>18</v>
      </c>
      <c r="J23" s="144">
        <f t="shared" si="3"/>
        <v>33</v>
      </c>
      <c r="K23" s="40">
        <v>738</v>
      </c>
      <c r="L23" s="27">
        <v>11</v>
      </c>
      <c r="M23" s="144">
        <f t="shared" si="4"/>
        <v>40</v>
      </c>
      <c r="N23" s="39">
        <v>811</v>
      </c>
      <c r="O23" s="27"/>
      <c r="P23" s="144" t="str">
        <f t="shared" si="5"/>
        <v/>
      </c>
      <c r="Q23" s="39"/>
      <c r="R23" s="53">
        <v>11</v>
      </c>
      <c r="S23" s="144">
        <f t="shared" si="6"/>
        <v>40</v>
      </c>
      <c r="T23" s="58">
        <v>795</v>
      </c>
      <c r="U23" s="27"/>
      <c r="V23" s="144" t="str">
        <f t="shared" si="7"/>
        <v/>
      </c>
      <c r="W23" s="39"/>
      <c r="X23" s="27">
        <v>35</v>
      </c>
      <c r="Y23" s="144">
        <f t="shared" si="8"/>
        <v>16</v>
      </c>
      <c r="Z23" s="39">
        <v>647</v>
      </c>
      <c r="AA23" s="82">
        <f t="shared" si="9"/>
        <v>5</v>
      </c>
      <c r="AB23" s="80">
        <f t="shared" si="10"/>
        <v>143</v>
      </c>
      <c r="AC23" s="80">
        <f t="shared" si="11"/>
        <v>143144.28</v>
      </c>
      <c r="AD23" s="81">
        <f t="shared" si="12"/>
        <v>144.28</v>
      </c>
      <c r="AE23" s="81">
        <f t="shared" si="13"/>
        <v>721.4</v>
      </c>
      <c r="AG23"/>
    </row>
    <row r="24" spans="1:33">
      <c r="A24" s="2"/>
      <c r="B24" s="384">
        <f t="shared" si="0"/>
        <v>21</v>
      </c>
      <c r="C24" s="900" t="s">
        <v>105</v>
      </c>
      <c r="D24" s="376">
        <f t="shared" si="1"/>
        <v>0</v>
      </c>
      <c r="E24" s="380" t="s">
        <v>7</v>
      </c>
      <c r="F24" s="27"/>
      <c r="G24" s="144" t="str">
        <f t="shared" si="2"/>
        <v/>
      </c>
      <c r="H24" s="39"/>
      <c r="I24" s="38">
        <v>21</v>
      </c>
      <c r="J24" s="144">
        <f t="shared" si="3"/>
        <v>30</v>
      </c>
      <c r="K24" s="40">
        <v>710</v>
      </c>
      <c r="L24" s="27">
        <v>33</v>
      </c>
      <c r="M24" s="144">
        <f t="shared" si="4"/>
        <v>18</v>
      </c>
      <c r="N24" s="39">
        <v>673</v>
      </c>
      <c r="O24" s="27">
        <v>27</v>
      </c>
      <c r="P24" s="144">
        <f t="shared" si="5"/>
        <v>24</v>
      </c>
      <c r="Q24" s="39">
        <v>675</v>
      </c>
      <c r="R24" s="53">
        <v>19</v>
      </c>
      <c r="S24" s="144">
        <f t="shared" si="6"/>
        <v>32</v>
      </c>
      <c r="T24" s="58">
        <v>723</v>
      </c>
      <c r="U24" s="27">
        <v>14</v>
      </c>
      <c r="V24" s="144">
        <f t="shared" si="7"/>
        <v>37</v>
      </c>
      <c r="W24" s="39">
        <v>773</v>
      </c>
      <c r="X24" s="27"/>
      <c r="Y24" s="144" t="str">
        <f t="shared" si="8"/>
        <v/>
      </c>
      <c r="Z24" s="39"/>
      <c r="AA24" s="82">
        <f t="shared" si="9"/>
        <v>5</v>
      </c>
      <c r="AB24" s="80">
        <f t="shared" si="10"/>
        <v>141</v>
      </c>
      <c r="AC24" s="80">
        <f t="shared" si="11"/>
        <v>141142.16</v>
      </c>
      <c r="AD24" s="81">
        <f t="shared" si="12"/>
        <v>142.16</v>
      </c>
      <c r="AE24" s="81">
        <f t="shared" si="13"/>
        <v>710.8</v>
      </c>
      <c r="AG24"/>
    </row>
    <row r="25" spans="1:33">
      <c r="A25" s="2"/>
      <c r="B25" s="384">
        <f t="shared" si="0"/>
        <v>22</v>
      </c>
      <c r="C25" s="894" t="s">
        <v>95</v>
      </c>
      <c r="D25" s="376">
        <f t="shared" si="1"/>
        <v>0</v>
      </c>
      <c r="E25" s="383" t="s">
        <v>4</v>
      </c>
      <c r="F25" s="27">
        <v>21</v>
      </c>
      <c r="G25" s="144">
        <f t="shared" si="2"/>
        <v>30</v>
      </c>
      <c r="H25" s="39">
        <v>707</v>
      </c>
      <c r="I25" s="38"/>
      <c r="J25" s="144" t="str">
        <f t="shared" si="3"/>
        <v/>
      </c>
      <c r="K25" s="40"/>
      <c r="L25" s="27">
        <v>26</v>
      </c>
      <c r="M25" s="144">
        <f t="shared" si="4"/>
        <v>25</v>
      </c>
      <c r="N25" s="39">
        <v>703</v>
      </c>
      <c r="O25" s="27">
        <v>32</v>
      </c>
      <c r="P25" s="144">
        <f t="shared" si="5"/>
        <v>19</v>
      </c>
      <c r="Q25" s="39">
        <v>638</v>
      </c>
      <c r="R25" s="53">
        <v>10</v>
      </c>
      <c r="S25" s="144">
        <f t="shared" si="6"/>
        <v>41</v>
      </c>
      <c r="T25" s="58">
        <v>801</v>
      </c>
      <c r="U25" s="27"/>
      <c r="V25" s="144" t="str">
        <f t="shared" si="7"/>
        <v/>
      </c>
      <c r="W25" s="39"/>
      <c r="X25" s="27">
        <v>25</v>
      </c>
      <c r="Y25" s="144">
        <f t="shared" si="8"/>
        <v>26</v>
      </c>
      <c r="Z25" s="39">
        <v>687</v>
      </c>
      <c r="AA25" s="82">
        <f t="shared" si="9"/>
        <v>5</v>
      </c>
      <c r="AB25" s="80">
        <f t="shared" si="10"/>
        <v>141</v>
      </c>
      <c r="AC25" s="80">
        <f t="shared" si="11"/>
        <v>141141.44</v>
      </c>
      <c r="AD25" s="81">
        <f t="shared" si="12"/>
        <v>141.44</v>
      </c>
      <c r="AE25" s="81">
        <f t="shared" si="13"/>
        <v>707.2</v>
      </c>
      <c r="AG25"/>
    </row>
    <row r="26" spans="1:33">
      <c r="A26" s="2"/>
      <c r="B26" s="384">
        <f t="shared" si="0"/>
        <v>23</v>
      </c>
      <c r="C26" s="895" t="s">
        <v>28</v>
      </c>
      <c r="D26" s="376">
        <f t="shared" si="1"/>
        <v>0</v>
      </c>
      <c r="E26" s="383" t="s">
        <v>4</v>
      </c>
      <c r="F26" s="27">
        <v>24</v>
      </c>
      <c r="G26" s="144">
        <f t="shared" si="2"/>
        <v>27</v>
      </c>
      <c r="H26" s="39">
        <v>691</v>
      </c>
      <c r="I26" s="38">
        <v>33</v>
      </c>
      <c r="J26" s="144">
        <f t="shared" si="3"/>
        <v>18</v>
      </c>
      <c r="K26" s="40">
        <v>638</v>
      </c>
      <c r="L26" s="27"/>
      <c r="M26" s="144" t="str">
        <f t="shared" si="4"/>
        <v/>
      </c>
      <c r="N26" s="39"/>
      <c r="O26" s="27"/>
      <c r="P26" s="144" t="str">
        <f t="shared" si="5"/>
        <v/>
      </c>
      <c r="Q26" s="39"/>
      <c r="R26" s="53">
        <v>16</v>
      </c>
      <c r="S26" s="144">
        <f t="shared" si="6"/>
        <v>35</v>
      </c>
      <c r="T26" s="58">
        <v>757</v>
      </c>
      <c r="U26" s="27">
        <v>21</v>
      </c>
      <c r="V26" s="144">
        <f t="shared" si="7"/>
        <v>30</v>
      </c>
      <c r="W26" s="54">
        <v>701</v>
      </c>
      <c r="X26" s="27">
        <v>20</v>
      </c>
      <c r="Y26" s="144">
        <f t="shared" si="8"/>
        <v>31</v>
      </c>
      <c r="Z26" s="39">
        <v>742</v>
      </c>
      <c r="AA26" s="80">
        <f t="shared" si="9"/>
        <v>5</v>
      </c>
      <c r="AB26" s="80">
        <f t="shared" si="10"/>
        <v>141</v>
      </c>
      <c r="AC26" s="80">
        <f t="shared" si="11"/>
        <v>141141.16</v>
      </c>
      <c r="AD26" s="81">
        <f t="shared" si="12"/>
        <v>141.16</v>
      </c>
      <c r="AE26" s="81">
        <f t="shared" si="13"/>
        <v>705.8</v>
      </c>
      <c r="AG26"/>
    </row>
    <row r="27" spans="1:33">
      <c r="A27" s="2"/>
      <c r="B27" s="384">
        <f t="shared" si="0"/>
        <v>24</v>
      </c>
      <c r="C27" s="373" t="s">
        <v>21</v>
      </c>
      <c r="D27" s="376">
        <f t="shared" si="1"/>
        <v>1</v>
      </c>
      <c r="E27" s="385" t="s">
        <v>17</v>
      </c>
      <c r="F27" s="27">
        <v>23</v>
      </c>
      <c r="G27" s="144">
        <f t="shared" si="2"/>
        <v>28</v>
      </c>
      <c r="H27" s="39">
        <v>702</v>
      </c>
      <c r="I27" s="38">
        <v>15</v>
      </c>
      <c r="J27" s="144">
        <f t="shared" si="3"/>
        <v>36</v>
      </c>
      <c r="K27" s="40">
        <v>768</v>
      </c>
      <c r="L27" s="27">
        <v>38</v>
      </c>
      <c r="M27" s="144">
        <f t="shared" si="4"/>
        <v>13</v>
      </c>
      <c r="N27" s="39">
        <v>631</v>
      </c>
      <c r="O27" s="27">
        <v>14</v>
      </c>
      <c r="P27" s="144">
        <f t="shared" si="5"/>
        <v>37</v>
      </c>
      <c r="Q27" s="39">
        <v>754</v>
      </c>
      <c r="R27" s="53">
        <v>27</v>
      </c>
      <c r="S27" s="144">
        <f t="shared" si="6"/>
        <v>24</v>
      </c>
      <c r="T27" s="58">
        <v>701</v>
      </c>
      <c r="U27" s="27">
        <v>34</v>
      </c>
      <c r="V27" s="144">
        <f t="shared" si="7"/>
        <v>17</v>
      </c>
      <c r="W27" s="39">
        <v>642</v>
      </c>
      <c r="X27" s="27">
        <v>23</v>
      </c>
      <c r="Y27" s="144">
        <f t="shared" si="8"/>
        <v>28</v>
      </c>
      <c r="Z27" s="39">
        <v>717</v>
      </c>
      <c r="AA27" s="82">
        <f t="shared" si="9"/>
        <v>7</v>
      </c>
      <c r="AB27" s="80">
        <f t="shared" si="10"/>
        <v>183</v>
      </c>
      <c r="AC27" s="80">
        <f t="shared" si="11"/>
        <v>183140.42857142858</v>
      </c>
      <c r="AD27" s="81">
        <f t="shared" si="12"/>
        <v>140.42857142857142</v>
      </c>
      <c r="AE27" s="81">
        <f t="shared" si="13"/>
        <v>702.14285714285711</v>
      </c>
      <c r="AG27"/>
    </row>
    <row r="28" spans="1:33">
      <c r="A28" s="2"/>
      <c r="B28" s="384">
        <f t="shared" si="0"/>
        <v>25</v>
      </c>
      <c r="C28" s="377" t="s">
        <v>81</v>
      </c>
      <c r="D28" s="376">
        <f t="shared" si="1"/>
        <v>1</v>
      </c>
      <c r="E28" s="378" t="s">
        <v>6</v>
      </c>
      <c r="F28" s="27">
        <v>20</v>
      </c>
      <c r="G28" s="144">
        <f t="shared" si="2"/>
        <v>31</v>
      </c>
      <c r="H28" s="39">
        <v>718</v>
      </c>
      <c r="I28" s="38">
        <v>27</v>
      </c>
      <c r="J28" s="144">
        <f t="shared" si="3"/>
        <v>24</v>
      </c>
      <c r="K28" s="40">
        <v>686</v>
      </c>
      <c r="L28" s="27">
        <v>28</v>
      </c>
      <c r="M28" s="144">
        <f t="shared" si="4"/>
        <v>23</v>
      </c>
      <c r="N28" s="39">
        <v>684</v>
      </c>
      <c r="O28" s="27">
        <v>24</v>
      </c>
      <c r="P28" s="144">
        <f t="shared" si="5"/>
        <v>27</v>
      </c>
      <c r="Q28" s="39">
        <v>688</v>
      </c>
      <c r="R28" s="53">
        <v>24</v>
      </c>
      <c r="S28" s="144">
        <f t="shared" si="6"/>
        <v>27</v>
      </c>
      <c r="T28" s="58">
        <v>717</v>
      </c>
      <c r="U28" s="27">
        <v>26</v>
      </c>
      <c r="V28" s="144">
        <f t="shared" si="7"/>
        <v>25</v>
      </c>
      <c r="W28" s="39">
        <v>685</v>
      </c>
      <c r="X28" s="27">
        <v>28</v>
      </c>
      <c r="Y28" s="144">
        <f t="shared" si="8"/>
        <v>23</v>
      </c>
      <c r="Z28" s="39">
        <v>675</v>
      </c>
      <c r="AA28" s="82">
        <f t="shared" si="9"/>
        <v>7</v>
      </c>
      <c r="AB28" s="80">
        <f t="shared" si="10"/>
        <v>180</v>
      </c>
      <c r="AC28" s="80">
        <f t="shared" si="11"/>
        <v>180138.65714285715</v>
      </c>
      <c r="AD28" s="81">
        <f t="shared" si="12"/>
        <v>138.65714285714287</v>
      </c>
      <c r="AE28" s="81">
        <f t="shared" si="13"/>
        <v>693.28571428571433</v>
      </c>
      <c r="AG28"/>
    </row>
    <row r="29" spans="1:33">
      <c r="A29" s="2"/>
      <c r="B29" s="384">
        <f t="shared" si="0"/>
        <v>26</v>
      </c>
      <c r="C29" s="387" t="s">
        <v>37</v>
      </c>
      <c r="D29" s="376">
        <f t="shared" si="1"/>
        <v>1</v>
      </c>
      <c r="E29" s="378" t="s">
        <v>6</v>
      </c>
      <c r="F29" s="27">
        <v>33</v>
      </c>
      <c r="G29" s="144">
        <f t="shared" si="2"/>
        <v>18</v>
      </c>
      <c r="H29" s="39">
        <v>636</v>
      </c>
      <c r="I29" s="38">
        <v>16</v>
      </c>
      <c r="J29" s="144">
        <f t="shared" si="3"/>
        <v>35</v>
      </c>
      <c r="K29" s="40">
        <v>766</v>
      </c>
      <c r="L29" s="27">
        <v>34</v>
      </c>
      <c r="M29" s="144">
        <f t="shared" si="4"/>
        <v>17</v>
      </c>
      <c r="N29" s="39">
        <v>672</v>
      </c>
      <c r="O29" s="27">
        <v>10</v>
      </c>
      <c r="P29" s="144">
        <f t="shared" si="5"/>
        <v>41</v>
      </c>
      <c r="Q29" s="39">
        <v>785</v>
      </c>
      <c r="R29" s="53">
        <v>34</v>
      </c>
      <c r="S29" s="144">
        <f t="shared" si="6"/>
        <v>17</v>
      </c>
      <c r="T29" s="58">
        <v>669</v>
      </c>
      <c r="U29" s="27"/>
      <c r="V29" s="144" t="str">
        <f t="shared" si="7"/>
        <v/>
      </c>
      <c r="W29" s="39"/>
      <c r="X29" s="27">
        <v>40</v>
      </c>
      <c r="Y29" s="144">
        <f t="shared" si="8"/>
        <v>11</v>
      </c>
      <c r="Z29" s="39">
        <v>631</v>
      </c>
      <c r="AA29" s="82">
        <f t="shared" si="9"/>
        <v>6</v>
      </c>
      <c r="AB29" s="80">
        <f t="shared" si="10"/>
        <v>139</v>
      </c>
      <c r="AC29" s="80">
        <f t="shared" si="11"/>
        <v>139138.63333333333</v>
      </c>
      <c r="AD29" s="81">
        <f t="shared" si="12"/>
        <v>138.63333333333333</v>
      </c>
      <c r="AE29" s="81">
        <f t="shared" si="13"/>
        <v>693.16666666666663</v>
      </c>
      <c r="AG29"/>
    </row>
    <row r="30" spans="1:33">
      <c r="A30" s="2"/>
      <c r="B30" s="384">
        <f t="shared" si="0"/>
        <v>27</v>
      </c>
      <c r="C30" s="375" t="s">
        <v>8</v>
      </c>
      <c r="D30" s="376">
        <f t="shared" si="1"/>
        <v>1</v>
      </c>
      <c r="E30" s="381" t="s">
        <v>0</v>
      </c>
      <c r="F30" s="27">
        <v>27</v>
      </c>
      <c r="G30" s="144">
        <f t="shared" si="2"/>
        <v>24</v>
      </c>
      <c r="H30" s="39">
        <v>664</v>
      </c>
      <c r="I30" s="38">
        <v>45</v>
      </c>
      <c r="J30" s="144">
        <f t="shared" si="3"/>
        <v>6</v>
      </c>
      <c r="K30" s="40">
        <v>596</v>
      </c>
      <c r="L30" s="27">
        <v>6</v>
      </c>
      <c r="M30" s="144">
        <f t="shared" si="4"/>
        <v>45</v>
      </c>
      <c r="N30" s="39">
        <v>838</v>
      </c>
      <c r="O30" s="27">
        <v>12</v>
      </c>
      <c r="P30" s="144">
        <f t="shared" si="5"/>
        <v>39</v>
      </c>
      <c r="Q30" s="39">
        <v>773</v>
      </c>
      <c r="R30" s="53">
        <v>39</v>
      </c>
      <c r="S30" s="144">
        <f t="shared" si="6"/>
        <v>12</v>
      </c>
      <c r="T30" s="58">
        <v>630</v>
      </c>
      <c r="U30" s="27">
        <v>29</v>
      </c>
      <c r="V30" s="144">
        <f t="shared" si="7"/>
        <v>22</v>
      </c>
      <c r="W30" s="39">
        <v>673</v>
      </c>
      <c r="X30" s="27">
        <v>41</v>
      </c>
      <c r="Y30" s="144">
        <f t="shared" si="8"/>
        <v>10</v>
      </c>
      <c r="Z30" s="39">
        <v>628</v>
      </c>
      <c r="AA30" s="80">
        <f t="shared" si="9"/>
        <v>7</v>
      </c>
      <c r="AB30" s="80">
        <f t="shared" si="10"/>
        <v>158</v>
      </c>
      <c r="AC30" s="80">
        <f t="shared" si="11"/>
        <v>158137.20000000001</v>
      </c>
      <c r="AD30" s="81">
        <f t="shared" si="12"/>
        <v>137.19999999999999</v>
      </c>
      <c r="AE30" s="81">
        <f t="shared" si="13"/>
        <v>686</v>
      </c>
      <c r="AG30"/>
    </row>
    <row r="31" spans="1:33">
      <c r="A31" s="2"/>
      <c r="B31" s="384">
        <f t="shared" si="0"/>
        <v>28</v>
      </c>
      <c r="C31" s="377" t="s">
        <v>70</v>
      </c>
      <c r="D31" s="376">
        <f t="shared" si="1"/>
        <v>1</v>
      </c>
      <c r="E31" s="378" t="s">
        <v>6</v>
      </c>
      <c r="F31" s="27">
        <v>29</v>
      </c>
      <c r="G31" s="144">
        <f t="shared" si="2"/>
        <v>22</v>
      </c>
      <c r="H31" s="39">
        <v>657</v>
      </c>
      <c r="I31" s="38">
        <v>25</v>
      </c>
      <c r="J31" s="144">
        <f t="shared" si="3"/>
        <v>26</v>
      </c>
      <c r="K31" s="40">
        <v>693</v>
      </c>
      <c r="L31" s="27">
        <v>19</v>
      </c>
      <c r="M31" s="144">
        <f t="shared" si="4"/>
        <v>32</v>
      </c>
      <c r="N31" s="151">
        <v>742</v>
      </c>
      <c r="O31" s="27">
        <v>29</v>
      </c>
      <c r="P31" s="144">
        <f t="shared" si="5"/>
        <v>22</v>
      </c>
      <c r="Q31" s="39">
        <v>666</v>
      </c>
      <c r="R31" s="53"/>
      <c r="S31" s="144" t="str">
        <f t="shared" si="6"/>
        <v/>
      </c>
      <c r="T31" s="58"/>
      <c r="U31" s="27">
        <v>19</v>
      </c>
      <c r="V31" s="144">
        <f t="shared" si="7"/>
        <v>32</v>
      </c>
      <c r="W31" s="39">
        <v>723</v>
      </c>
      <c r="X31" s="27">
        <v>42</v>
      </c>
      <c r="Y31" s="144">
        <f t="shared" si="8"/>
        <v>9</v>
      </c>
      <c r="Z31" s="39">
        <v>625</v>
      </c>
      <c r="AA31" s="82">
        <f t="shared" si="9"/>
        <v>6</v>
      </c>
      <c r="AB31" s="80">
        <f t="shared" si="10"/>
        <v>143</v>
      </c>
      <c r="AC31" s="80">
        <f t="shared" si="11"/>
        <v>143136.86666666667</v>
      </c>
      <c r="AD31" s="81">
        <f t="shared" si="12"/>
        <v>136.86666666666667</v>
      </c>
      <c r="AE31" s="81">
        <f t="shared" si="13"/>
        <v>684.33333333333337</v>
      </c>
      <c r="AG31"/>
    </row>
    <row r="32" spans="1:33">
      <c r="A32" s="2"/>
      <c r="B32" s="384">
        <f t="shared" si="0"/>
        <v>29</v>
      </c>
      <c r="C32" s="373" t="s">
        <v>32</v>
      </c>
      <c r="D32" s="376">
        <f t="shared" si="1"/>
        <v>0</v>
      </c>
      <c r="E32" s="385" t="s">
        <v>17</v>
      </c>
      <c r="F32" s="27">
        <v>32</v>
      </c>
      <c r="G32" s="144">
        <f t="shared" si="2"/>
        <v>19</v>
      </c>
      <c r="H32" s="39">
        <v>637</v>
      </c>
      <c r="I32" s="38">
        <v>36</v>
      </c>
      <c r="J32" s="144">
        <f t="shared" si="3"/>
        <v>15</v>
      </c>
      <c r="K32" s="40">
        <v>632</v>
      </c>
      <c r="L32" s="27"/>
      <c r="M32" s="144" t="str">
        <f t="shared" si="4"/>
        <v/>
      </c>
      <c r="N32" s="151"/>
      <c r="O32" s="27"/>
      <c r="P32" s="144" t="str">
        <f t="shared" si="5"/>
        <v/>
      </c>
      <c r="Q32" s="39"/>
      <c r="R32" s="53">
        <v>5</v>
      </c>
      <c r="S32" s="144">
        <f t="shared" si="6"/>
        <v>46</v>
      </c>
      <c r="T32" s="58">
        <v>834</v>
      </c>
      <c r="U32" s="27">
        <v>35</v>
      </c>
      <c r="V32" s="144">
        <f t="shared" si="7"/>
        <v>16</v>
      </c>
      <c r="W32" s="39">
        <v>633</v>
      </c>
      <c r="X32" s="27">
        <v>31</v>
      </c>
      <c r="Y32" s="144">
        <f t="shared" si="8"/>
        <v>20</v>
      </c>
      <c r="Z32" s="39">
        <v>668</v>
      </c>
      <c r="AA32" s="82">
        <f t="shared" si="9"/>
        <v>5</v>
      </c>
      <c r="AB32" s="80">
        <f t="shared" si="10"/>
        <v>116</v>
      </c>
      <c r="AC32" s="80">
        <f t="shared" si="11"/>
        <v>116136.16</v>
      </c>
      <c r="AD32" s="81">
        <f t="shared" si="12"/>
        <v>136.16</v>
      </c>
      <c r="AE32" s="81">
        <f t="shared" si="13"/>
        <v>680.8</v>
      </c>
      <c r="AG32"/>
    </row>
    <row r="33" spans="1:33">
      <c r="A33" s="2"/>
      <c r="B33" s="384">
        <f t="shared" si="0"/>
        <v>30</v>
      </c>
      <c r="C33" s="387" t="s">
        <v>18</v>
      </c>
      <c r="D33" s="376">
        <f t="shared" si="1"/>
        <v>1</v>
      </c>
      <c r="E33" s="378" t="s">
        <v>6</v>
      </c>
      <c r="F33" s="27">
        <v>38</v>
      </c>
      <c r="G33" s="144">
        <f t="shared" si="2"/>
        <v>13</v>
      </c>
      <c r="H33" s="39">
        <v>614</v>
      </c>
      <c r="I33" s="38">
        <v>39</v>
      </c>
      <c r="J33" s="144">
        <f t="shared" si="3"/>
        <v>12</v>
      </c>
      <c r="K33" s="40">
        <v>618</v>
      </c>
      <c r="L33" s="27">
        <v>29</v>
      </c>
      <c r="M33" s="144">
        <f t="shared" si="4"/>
        <v>22</v>
      </c>
      <c r="N33" s="39">
        <v>683</v>
      </c>
      <c r="O33" s="27">
        <v>15</v>
      </c>
      <c r="P33" s="144">
        <f t="shared" si="5"/>
        <v>36</v>
      </c>
      <c r="Q33" s="39">
        <v>753</v>
      </c>
      <c r="R33" s="53">
        <v>22</v>
      </c>
      <c r="S33" s="144">
        <f t="shared" si="6"/>
        <v>29</v>
      </c>
      <c r="T33" s="58">
        <v>718</v>
      </c>
      <c r="U33" s="27">
        <v>25</v>
      </c>
      <c r="V33" s="144">
        <f t="shared" si="7"/>
        <v>26</v>
      </c>
      <c r="W33" s="39">
        <v>691</v>
      </c>
      <c r="X33" s="27">
        <v>27</v>
      </c>
      <c r="Y33" s="144">
        <f t="shared" si="8"/>
        <v>24</v>
      </c>
      <c r="Z33" s="39">
        <v>681</v>
      </c>
      <c r="AA33" s="82">
        <f t="shared" si="9"/>
        <v>7</v>
      </c>
      <c r="AB33" s="80">
        <f t="shared" si="10"/>
        <v>162</v>
      </c>
      <c r="AC33" s="80">
        <f t="shared" si="11"/>
        <v>162135.94285714286</v>
      </c>
      <c r="AD33" s="81">
        <f t="shared" si="12"/>
        <v>135.94285714285712</v>
      </c>
      <c r="AE33" s="81">
        <f t="shared" si="13"/>
        <v>679.71428571428567</v>
      </c>
      <c r="AG33"/>
    </row>
    <row r="34" spans="1:33">
      <c r="A34" s="2"/>
      <c r="B34" s="384">
        <f t="shared" si="0"/>
        <v>31</v>
      </c>
      <c r="C34" s="379" t="s">
        <v>26</v>
      </c>
      <c r="D34" s="376">
        <f t="shared" si="1"/>
        <v>1</v>
      </c>
      <c r="E34" s="380" t="s">
        <v>7</v>
      </c>
      <c r="F34" s="27">
        <v>30</v>
      </c>
      <c r="G34" s="144">
        <f t="shared" si="2"/>
        <v>21</v>
      </c>
      <c r="H34" s="39">
        <v>655</v>
      </c>
      <c r="I34" s="38">
        <v>32</v>
      </c>
      <c r="J34" s="144">
        <f t="shared" si="3"/>
        <v>19</v>
      </c>
      <c r="K34" s="40">
        <v>656</v>
      </c>
      <c r="L34" s="27">
        <v>32</v>
      </c>
      <c r="M34" s="144">
        <f t="shared" si="4"/>
        <v>19</v>
      </c>
      <c r="N34" s="39">
        <v>676</v>
      </c>
      <c r="O34" s="27">
        <v>23</v>
      </c>
      <c r="P34" s="144">
        <f t="shared" si="5"/>
        <v>28</v>
      </c>
      <c r="Q34" s="39">
        <v>700</v>
      </c>
      <c r="R34" s="53"/>
      <c r="S34" s="144" t="str">
        <f t="shared" si="6"/>
        <v/>
      </c>
      <c r="T34" s="58"/>
      <c r="U34" s="27">
        <v>24</v>
      </c>
      <c r="V34" s="144">
        <f t="shared" si="7"/>
        <v>27</v>
      </c>
      <c r="W34" s="39">
        <v>694</v>
      </c>
      <c r="X34" s="27">
        <v>26</v>
      </c>
      <c r="Y34" s="144">
        <f t="shared" si="8"/>
        <v>25</v>
      </c>
      <c r="Z34" s="39">
        <v>682</v>
      </c>
      <c r="AA34" s="82">
        <f t="shared" si="9"/>
        <v>6</v>
      </c>
      <c r="AB34" s="80">
        <f t="shared" si="10"/>
        <v>139</v>
      </c>
      <c r="AC34" s="80">
        <f t="shared" si="11"/>
        <v>139135.43333333332</v>
      </c>
      <c r="AD34" s="81">
        <f t="shared" si="12"/>
        <v>135.43333333333334</v>
      </c>
      <c r="AE34" s="81">
        <f t="shared" si="13"/>
        <v>677.16666666666663</v>
      </c>
      <c r="AG34"/>
    </row>
    <row r="35" spans="1:33">
      <c r="A35" s="2"/>
      <c r="B35" s="384">
        <f t="shared" si="0"/>
        <v>32</v>
      </c>
      <c r="C35" s="375" t="s">
        <v>46</v>
      </c>
      <c r="D35" s="376">
        <f t="shared" si="1"/>
        <v>1</v>
      </c>
      <c r="E35" s="381" t="s">
        <v>0</v>
      </c>
      <c r="F35" s="27">
        <v>34</v>
      </c>
      <c r="G35" s="144">
        <f t="shared" si="2"/>
        <v>17</v>
      </c>
      <c r="H35" s="39">
        <v>631</v>
      </c>
      <c r="I35" s="38">
        <v>30</v>
      </c>
      <c r="J35" s="144">
        <f t="shared" si="3"/>
        <v>21</v>
      </c>
      <c r="K35" s="40">
        <v>665</v>
      </c>
      <c r="L35" s="27">
        <v>31</v>
      </c>
      <c r="M35" s="144">
        <f t="shared" si="4"/>
        <v>20</v>
      </c>
      <c r="N35" s="39">
        <v>680</v>
      </c>
      <c r="O35" s="27">
        <v>13</v>
      </c>
      <c r="P35" s="144">
        <f t="shared" si="5"/>
        <v>38</v>
      </c>
      <c r="Q35" s="39">
        <v>761</v>
      </c>
      <c r="R35" s="53">
        <v>20</v>
      </c>
      <c r="S35" s="144">
        <f t="shared" si="6"/>
        <v>31</v>
      </c>
      <c r="T35" s="58">
        <v>722</v>
      </c>
      <c r="U35" s="27">
        <v>42</v>
      </c>
      <c r="V35" s="144">
        <f t="shared" si="7"/>
        <v>9</v>
      </c>
      <c r="W35" s="39">
        <v>612</v>
      </c>
      <c r="X35" s="27">
        <v>32</v>
      </c>
      <c r="Y35" s="144">
        <f t="shared" si="8"/>
        <v>19</v>
      </c>
      <c r="Z35" s="39">
        <v>658</v>
      </c>
      <c r="AA35" s="82">
        <f t="shared" si="9"/>
        <v>7</v>
      </c>
      <c r="AB35" s="80">
        <f t="shared" si="10"/>
        <v>155</v>
      </c>
      <c r="AC35" s="80">
        <f t="shared" si="11"/>
        <v>155135.11428571428</v>
      </c>
      <c r="AD35" s="81">
        <f t="shared" si="12"/>
        <v>135.1142857142857</v>
      </c>
      <c r="AE35" s="81">
        <f t="shared" si="13"/>
        <v>675.57142857142856</v>
      </c>
      <c r="AG35"/>
    </row>
    <row r="36" spans="1:33">
      <c r="A36" s="2"/>
      <c r="B36" s="384">
        <f t="shared" ref="B36:B67" si="14">SUM(B35+1)</f>
        <v>33</v>
      </c>
      <c r="C36" s="388" t="s">
        <v>61</v>
      </c>
      <c r="D36" s="376">
        <f t="shared" ref="D36:D67" si="15">IF(AA36&lt;6,0,1)</f>
        <v>0</v>
      </c>
      <c r="E36" s="381" t="s">
        <v>0</v>
      </c>
      <c r="F36" s="27">
        <v>22</v>
      </c>
      <c r="G36" s="144">
        <f t="shared" ref="G36:G56" si="16">IF(F36="","",IF(F36&gt;50,"",51-F36))</f>
        <v>29</v>
      </c>
      <c r="H36" s="39">
        <v>705</v>
      </c>
      <c r="I36" s="38">
        <v>34</v>
      </c>
      <c r="J36" s="144">
        <f t="shared" ref="J36:J56" si="17">IF(I36="","",IF(I36&gt;50,"",51-I36))</f>
        <v>17</v>
      </c>
      <c r="K36" s="40">
        <v>636</v>
      </c>
      <c r="L36" s="27">
        <v>24</v>
      </c>
      <c r="M36" s="144">
        <f t="shared" ref="M36:M56" si="18">IF(L36="","",IF(L36&gt;50,"",51-L36))</f>
        <v>27</v>
      </c>
      <c r="N36" s="39">
        <v>711</v>
      </c>
      <c r="O36" s="27">
        <v>36</v>
      </c>
      <c r="P36" s="144">
        <f t="shared" ref="P36:P71" si="19">IF(O36="","",IF(O36&gt;50,"",51-O36))</f>
        <v>15</v>
      </c>
      <c r="Q36" s="39">
        <v>618</v>
      </c>
      <c r="R36" s="53"/>
      <c r="S36" s="144" t="str">
        <f t="shared" ref="S36:S74" si="20">IF(R36="","",IF(R36&gt;50,"",51-R36))</f>
        <v/>
      </c>
      <c r="T36" s="58"/>
      <c r="U36" s="27">
        <v>45</v>
      </c>
      <c r="V36" s="144">
        <f t="shared" si="7"/>
        <v>6</v>
      </c>
      <c r="W36" s="39">
        <v>597</v>
      </c>
      <c r="X36" s="53"/>
      <c r="Y36" s="144" t="str">
        <f t="shared" ref="Y36:Y67" si="21">IF(X36="","",IF(X36&gt;50,"",51-X36))</f>
        <v/>
      </c>
      <c r="Z36" s="39"/>
      <c r="AA36" s="82">
        <f t="shared" ref="AA36:AA67" si="22">COUNT(X36,U36,R36,O36,L36,I36,F36)</f>
        <v>5</v>
      </c>
      <c r="AB36" s="80">
        <f t="shared" ref="AB36:AB67" si="23">SUM(G36,J36,M36,P36,S36,V36,Y36)</f>
        <v>94</v>
      </c>
      <c r="AC36" s="80">
        <f t="shared" ref="AC36:AC67" si="24">IF(AB36=0,"",SUM(AB36*1000)+AD36)</f>
        <v>94130.68</v>
      </c>
      <c r="AD36" s="81">
        <f t="shared" ref="AD36:AD67" si="25">IF(AA36=0,"",AE36/5)</f>
        <v>130.68</v>
      </c>
      <c r="AE36" s="81">
        <f t="shared" ref="AE36:AE67" si="26">IF(AA36=0,"",(H36+K36+N36+Q36+T36+W36+Z36)/AA36)</f>
        <v>653.4</v>
      </c>
      <c r="AG36"/>
    </row>
    <row r="37" spans="1:33">
      <c r="A37" s="2"/>
      <c r="B37" s="384">
        <f t="shared" si="14"/>
        <v>34</v>
      </c>
      <c r="C37" s="379" t="s">
        <v>93</v>
      </c>
      <c r="D37" s="376">
        <f t="shared" si="15"/>
        <v>0</v>
      </c>
      <c r="E37" s="380" t="s">
        <v>7</v>
      </c>
      <c r="F37" s="27">
        <v>26</v>
      </c>
      <c r="G37" s="144">
        <f t="shared" si="16"/>
        <v>25</v>
      </c>
      <c r="H37" s="39">
        <v>673</v>
      </c>
      <c r="I37" s="38"/>
      <c r="J37" s="144" t="str">
        <f t="shared" si="17"/>
        <v/>
      </c>
      <c r="K37" s="40"/>
      <c r="L37" s="27">
        <v>22</v>
      </c>
      <c r="M37" s="144">
        <f t="shared" si="18"/>
        <v>29</v>
      </c>
      <c r="N37" s="39">
        <v>726</v>
      </c>
      <c r="O37" s="27">
        <v>41</v>
      </c>
      <c r="P37" s="144">
        <f t="shared" si="19"/>
        <v>10</v>
      </c>
      <c r="Q37" s="39">
        <v>569</v>
      </c>
      <c r="R37" s="53">
        <v>29</v>
      </c>
      <c r="S37" s="144">
        <f t="shared" si="20"/>
        <v>22</v>
      </c>
      <c r="T37" s="58">
        <v>688</v>
      </c>
      <c r="U37" s="27">
        <v>46</v>
      </c>
      <c r="V37" s="144">
        <f t="shared" si="7"/>
        <v>5</v>
      </c>
      <c r="W37" s="39">
        <v>596</v>
      </c>
      <c r="X37" s="27"/>
      <c r="Y37" s="144" t="str">
        <f t="shared" si="21"/>
        <v/>
      </c>
      <c r="Z37" s="39"/>
      <c r="AA37" s="82">
        <f t="shared" si="22"/>
        <v>5</v>
      </c>
      <c r="AB37" s="80">
        <f t="shared" si="23"/>
        <v>91</v>
      </c>
      <c r="AC37" s="80">
        <f t="shared" si="24"/>
        <v>91130.08</v>
      </c>
      <c r="AD37" s="81">
        <f t="shared" si="25"/>
        <v>130.07999999999998</v>
      </c>
      <c r="AE37" s="81">
        <f t="shared" si="26"/>
        <v>650.4</v>
      </c>
      <c r="AG37"/>
    </row>
    <row r="38" spans="1:33">
      <c r="A38" s="2"/>
      <c r="B38" s="384">
        <f t="shared" si="14"/>
        <v>35</v>
      </c>
      <c r="C38" s="373" t="s">
        <v>123</v>
      </c>
      <c r="D38" s="376">
        <f t="shared" si="15"/>
        <v>1</v>
      </c>
      <c r="E38" s="385" t="s">
        <v>17</v>
      </c>
      <c r="F38" s="27">
        <v>36</v>
      </c>
      <c r="G38" s="144">
        <f t="shared" si="16"/>
        <v>15</v>
      </c>
      <c r="H38" s="39">
        <v>616</v>
      </c>
      <c r="I38" s="38">
        <v>22</v>
      </c>
      <c r="J38" s="144">
        <f t="shared" si="17"/>
        <v>29</v>
      </c>
      <c r="K38" s="40">
        <v>708</v>
      </c>
      <c r="L38" s="27">
        <v>42</v>
      </c>
      <c r="M38" s="144">
        <f t="shared" si="18"/>
        <v>9</v>
      </c>
      <c r="N38" s="39">
        <v>593</v>
      </c>
      <c r="O38" s="27">
        <v>33</v>
      </c>
      <c r="P38" s="144">
        <f t="shared" si="19"/>
        <v>18</v>
      </c>
      <c r="Q38" s="39">
        <v>632</v>
      </c>
      <c r="R38" s="53">
        <v>31</v>
      </c>
      <c r="S38" s="144">
        <f t="shared" si="20"/>
        <v>20</v>
      </c>
      <c r="T38" s="58">
        <v>683</v>
      </c>
      <c r="U38" s="27">
        <v>36</v>
      </c>
      <c r="V38" s="144">
        <f t="shared" si="7"/>
        <v>15</v>
      </c>
      <c r="W38" s="39">
        <v>631</v>
      </c>
      <c r="X38" s="27">
        <v>33</v>
      </c>
      <c r="Y38" s="144">
        <f t="shared" si="21"/>
        <v>18</v>
      </c>
      <c r="Z38" s="39">
        <v>652</v>
      </c>
      <c r="AA38" s="82">
        <f t="shared" si="22"/>
        <v>7</v>
      </c>
      <c r="AB38" s="80">
        <f t="shared" si="23"/>
        <v>124</v>
      </c>
      <c r="AC38" s="80">
        <f t="shared" si="24"/>
        <v>124129</v>
      </c>
      <c r="AD38" s="81">
        <f t="shared" si="25"/>
        <v>129</v>
      </c>
      <c r="AE38" s="81">
        <f t="shared" si="26"/>
        <v>645</v>
      </c>
      <c r="AG38"/>
    </row>
    <row r="39" spans="1:33">
      <c r="A39" s="2"/>
      <c r="B39" s="384">
        <f t="shared" si="14"/>
        <v>36</v>
      </c>
      <c r="C39" s="389" t="s">
        <v>30</v>
      </c>
      <c r="D39" s="376">
        <f t="shared" si="15"/>
        <v>0</v>
      </c>
      <c r="E39" s="383" t="s">
        <v>4</v>
      </c>
      <c r="F39" s="27">
        <v>40</v>
      </c>
      <c r="G39" s="144">
        <f t="shared" si="16"/>
        <v>11</v>
      </c>
      <c r="H39" s="39">
        <v>590</v>
      </c>
      <c r="I39" s="38">
        <v>35</v>
      </c>
      <c r="J39" s="144">
        <f t="shared" si="17"/>
        <v>16</v>
      </c>
      <c r="K39" s="40">
        <v>636</v>
      </c>
      <c r="L39" s="27">
        <v>30</v>
      </c>
      <c r="M39" s="144">
        <f t="shared" si="18"/>
        <v>21</v>
      </c>
      <c r="N39" s="39">
        <v>681</v>
      </c>
      <c r="O39" s="27">
        <v>38</v>
      </c>
      <c r="P39" s="144">
        <f t="shared" si="19"/>
        <v>13</v>
      </c>
      <c r="Q39" s="39">
        <v>594</v>
      </c>
      <c r="R39" s="53">
        <v>42</v>
      </c>
      <c r="S39" s="144">
        <f t="shared" si="20"/>
        <v>9</v>
      </c>
      <c r="T39" s="58">
        <v>606</v>
      </c>
      <c r="U39" s="27"/>
      <c r="V39" s="144" t="str">
        <f t="shared" si="7"/>
        <v/>
      </c>
      <c r="W39" s="39"/>
      <c r="X39" s="27"/>
      <c r="Y39" s="144" t="str">
        <f t="shared" si="21"/>
        <v/>
      </c>
      <c r="Z39" s="39"/>
      <c r="AA39" s="82">
        <f t="shared" si="22"/>
        <v>5</v>
      </c>
      <c r="AB39" s="80">
        <f t="shared" si="23"/>
        <v>70</v>
      </c>
      <c r="AC39" s="80">
        <f t="shared" si="24"/>
        <v>70124.28</v>
      </c>
      <c r="AD39" s="81">
        <f t="shared" si="25"/>
        <v>124.28</v>
      </c>
      <c r="AE39" s="81">
        <f t="shared" si="26"/>
        <v>621.4</v>
      </c>
      <c r="AG39"/>
    </row>
    <row r="40" spans="1:33">
      <c r="A40" s="2"/>
      <c r="B40" s="384">
        <f t="shared" si="14"/>
        <v>37</v>
      </c>
      <c r="C40" s="390" t="s">
        <v>127</v>
      </c>
      <c r="D40" s="376">
        <f t="shared" si="15"/>
        <v>1</v>
      </c>
      <c r="E40" s="380" t="s">
        <v>7</v>
      </c>
      <c r="F40" s="27">
        <v>39</v>
      </c>
      <c r="G40" s="144">
        <f t="shared" si="16"/>
        <v>12</v>
      </c>
      <c r="H40" s="39">
        <v>611</v>
      </c>
      <c r="I40" s="38">
        <v>29</v>
      </c>
      <c r="J40" s="144">
        <f t="shared" si="17"/>
        <v>22</v>
      </c>
      <c r="K40" s="40">
        <v>683</v>
      </c>
      <c r="L40" s="27">
        <v>44</v>
      </c>
      <c r="M40" s="144">
        <f t="shared" si="18"/>
        <v>7</v>
      </c>
      <c r="N40" s="39">
        <v>573</v>
      </c>
      <c r="O40" s="27">
        <v>39</v>
      </c>
      <c r="P40" s="144">
        <f t="shared" si="19"/>
        <v>12</v>
      </c>
      <c r="Q40" s="39">
        <v>583</v>
      </c>
      <c r="R40" s="53">
        <v>28</v>
      </c>
      <c r="S40" s="144">
        <f t="shared" si="20"/>
        <v>23</v>
      </c>
      <c r="T40" s="58">
        <v>697</v>
      </c>
      <c r="U40" s="27"/>
      <c r="V40" s="144"/>
      <c r="W40" s="39"/>
      <c r="X40" s="27">
        <v>47</v>
      </c>
      <c r="Y40" s="144">
        <f t="shared" si="21"/>
        <v>4</v>
      </c>
      <c r="Z40" s="39">
        <v>575</v>
      </c>
      <c r="AA40" s="82">
        <f t="shared" si="22"/>
        <v>6</v>
      </c>
      <c r="AB40" s="80">
        <f t="shared" si="23"/>
        <v>80</v>
      </c>
      <c r="AC40" s="80">
        <f t="shared" si="24"/>
        <v>80124.066666666666</v>
      </c>
      <c r="AD40" s="81">
        <f t="shared" si="25"/>
        <v>124.06666666666668</v>
      </c>
      <c r="AE40" s="81">
        <f t="shared" si="26"/>
        <v>620.33333333333337</v>
      </c>
      <c r="AG40"/>
    </row>
    <row r="41" spans="1:33">
      <c r="A41" s="2"/>
      <c r="B41" s="384">
        <f t="shared" si="14"/>
        <v>38</v>
      </c>
      <c r="C41" s="379" t="s">
        <v>14</v>
      </c>
      <c r="D41" s="376">
        <f t="shared" si="15"/>
        <v>1</v>
      </c>
      <c r="E41" s="380" t="s">
        <v>7</v>
      </c>
      <c r="F41" s="27">
        <v>46</v>
      </c>
      <c r="G41" s="144">
        <f t="shared" si="16"/>
        <v>5</v>
      </c>
      <c r="H41" s="39">
        <v>560</v>
      </c>
      <c r="I41" s="38">
        <v>42</v>
      </c>
      <c r="J41" s="144">
        <f t="shared" si="17"/>
        <v>9</v>
      </c>
      <c r="K41" s="40">
        <v>604</v>
      </c>
      <c r="L41" s="27">
        <v>40</v>
      </c>
      <c r="M41" s="144">
        <f t="shared" si="18"/>
        <v>11</v>
      </c>
      <c r="N41" s="39">
        <v>605</v>
      </c>
      <c r="O41" s="27">
        <v>21</v>
      </c>
      <c r="P41" s="144">
        <f t="shared" si="19"/>
        <v>30</v>
      </c>
      <c r="Q41" s="39">
        <v>705</v>
      </c>
      <c r="R41" s="53">
        <v>41</v>
      </c>
      <c r="S41" s="144">
        <f t="shared" si="20"/>
        <v>10</v>
      </c>
      <c r="T41" s="58">
        <v>619</v>
      </c>
      <c r="U41" s="27">
        <v>47</v>
      </c>
      <c r="V41" s="144">
        <f t="shared" ref="V41:V62" si="27">IF(U41="","",IF(U41&gt;50,"",51-U41))</f>
        <v>4</v>
      </c>
      <c r="W41" s="39">
        <v>593</v>
      </c>
      <c r="X41" s="27">
        <v>38</v>
      </c>
      <c r="Y41" s="144">
        <f t="shared" si="21"/>
        <v>13</v>
      </c>
      <c r="Z41" s="39">
        <v>640</v>
      </c>
      <c r="AA41" s="80">
        <f t="shared" si="22"/>
        <v>7</v>
      </c>
      <c r="AB41" s="80">
        <f t="shared" si="23"/>
        <v>82</v>
      </c>
      <c r="AC41" s="80">
        <f t="shared" si="24"/>
        <v>82123.600000000006</v>
      </c>
      <c r="AD41" s="81">
        <f t="shared" si="25"/>
        <v>123.6</v>
      </c>
      <c r="AE41" s="81">
        <f t="shared" si="26"/>
        <v>618</v>
      </c>
      <c r="AG41"/>
    </row>
    <row r="42" spans="1:33">
      <c r="A42" s="2"/>
      <c r="B42" s="384">
        <f t="shared" si="14"/>
        <v>39</v>
      </c>
      <c r="C42" s="598" t="s">
        <v>118</v>
      </c>
      <c r="D42" s="376">
        <f t="shared" si="15"/>
        <v>1</v>
      </c>
      <c r="E42" s="385" t="s">
        <v>17</v>
      </c>
      <c r="F42" s="27">
        <v>44</v>
      </c>
      <c r="G42" s="144">
        <f t="shared" si="16"/>
        <v>7</v>
      </c>
      <c r="H42" s="39">
        <v>571</v>
      </c>
      <c r="I42" s="38"/>
      <c r="J42" s="144" t="str">
        <f t="shared" si="17"/>
        <v/>
      </c>
      <c r="K42" s="40"/>
      <c r="L42" s="27">
        <v>48</v>
      </c>
      <c r="M42" s="144">
        <f t="shared" si="18"/>
        <v>3</v>
      </c>
      <c r="N42" s="39">
        <v>529</v>
      </c>
      <c r="O42" s="27">
        <v>43</v>
      </c>
      <c r="P42" s="144">
        <f t="shared" si="19"/>
        <v>8</v>
      </c>
      <c r="Q42" s="39">
        <v>558</v>
      </c>
      <c r="R42" s="53">
        <v>32</v>
      </c>
      <c r="S42" s="144">
        <f t="shared" si="20"/>
        <v>19</v>
      </c>
      <c r="T42" s="58">
        <v>681</v>
      </c>
      <c r="U42" s="27">
        <v>22</v>
      </c>
      <c r="V42" s="144">
        <f t="shared" si="27"/>
        <v>29</v>
      </c>
      <c r="W42" s="39">
        <v>695</v>
      </c>
      <c r="X42" s="27">
        <v>29</v>
      </c>
      <c r="Y42" s="144">
        <f t="shared" si="21"/>
        <v>22</v>
      </c>
      <c r="Z42" s="39">
        <v>672</v>
      </c>
      <c r="AA42" s="82">
        <f t="shared" si="22"/>
        <v>6</v>
      </c>
      <c r="AB42" s="80">
        <f t="shared" si="23"/>
        <v>88</v>
      </c>
      <c r="AC42" s="80">
        <f t="shared" si="24"/>
        <v>88123.53333333334</v>
      </c>
      <c r="AD42" s="81">
        <f t="shared" si="25"/>
        <v>123.53333333333333</v>
      </c>
      <c r="AE42" s="81">
        <f t="shared" si="26"/>
        <v>617.66666666666663</v>
      </c>
      <c r="AG42"/>
    </row>
    <row r="43" spans="1:33">
      <c r="A43" s="2"/>
      <c r="B43" s="384">
        <f t="shared" si="14"/>
        <v>40</v>
      </c>
      <c r="C43" s="377" t="s">
        <v>99</v>
      </c>
      <c r="D43" s="376">
        <f t="shared" si="15"/>
        <v>1</v>
      </c>
      <c r="E43" s="378" t="s">
        <v>6</v>
      </c>
      <c r="F43" s="150">
        <v>50</v>
      </c>
      <c r="G43" s="180">
        <f t="shared" si="16"/>
        <v>1</v>
      </c>
      <c r="H43" s="209">
        <v>473</v>
      </c>
      <c r="I43" s="38">
        <v>40</v>
      </c>
      <c r="J43" s="144">
        <f t="shared" si="17"/>
        <v>11</v>
      </c>
      <c r="K43" s="40">
        <v>611</v>
      </c>
      <c r="L43" s="27">
        <v>41</v>
      </c>
      <c r="M43" s="144">
        <f t="shared" si="18"/>
        <v>10</v>
      </c>
      <c r="N43" s="39">
        <v>599</v>
      </c>
      <c r="O43" s="27">
        <v>25</v>
      </c>
      <c r="P43" s="144">
        <f t="shared" si="19"/>
        <v>26</v>
      </c>
      <c r="Q43" s="39">
        <v>682</v>
      </c>
      <c r="R43" s="53">
        <v>33</v>
      </c>
      <c r="S43" s="144">
        <f t="shared" si="20"/>
        <v>18</v>
      </c>
      <c r="T43" s="58">
        <v>676</v>
      </c>
      <c r="U43" s="27">
        <v>37</v>
      </c>
      <c r="V43" s="144">
        <f t="shared" si="27"/>
        <v>14</v>
      </c>
      <c r="W43" s="39">
        <v>627</v>
      </c>
      <c r="X43" s="27">
        <v>44</v>
      </c>
      <c r="Y43" s="144">
        <f t="shared" si="21"/>
        <v>7</v>
      </c>
      <c r="Z43" s="39">
        <v>615</v>
      </c>
      <c r="AA43" s="82">
        <f t="shared" si="22"/>
        <v>7</v>
      </c>
      <c r="AB43" s="80">
        <f t="shared" si="23"/>
        <v>87</v>
      </c>
      <c r="AC43" s="80">
        <f t="shared" si="24"/>
        <v>87122.371428571423</v>
      </c>
      <c r="AD43" s="81">
        <f t="shared" si="25"/>
        <v>122.37142857142858</v>
      </c>
      <c r="AE43" s="81">
        <f t="shared" si="26"/>
        <v>611.85714285714289</v>
      </c>
      <c r="AG43"/>
    </row>
    <row r="44" spans="1:33">
      <c r="A44" s="2"/>
      <c r="B44" s="384">
        <f t="shared" si="14"/>
        <v>41</v>
      </c>
      <c r="C44" s="375" t="s">
        <v>19</v>
      </c>
      <c r="D44" s="376">
        <f t="shared" si="15"/>
        <v>1</v>
      </c>
      <c r="E44" s="381" t="s">
        <v>0</v>
      </c>
      <c r="F44" s="27">
        <v>43</v>
      </c>
      <c r="G44" s="144">
        <f t="shared" si="16"/>
        <v>8</v>
      </c>
      <c r="H44" s="39">
        <v>572</v>
      </c>
      <c r="I44" s="38">
        <v>48</v>
      </c>
      <c r="J44" s="144">
        <f t="shared" si="17"/>
        <v>3</v>
      </c>
      <c r="K44" s="40">
        <v>548</v>
      </c>
      <c r="L44" s="27">
        <v>47</v>
      </c>
      <c r="M44" s="144">
        <f t="shared" si="18"/>
        <v>4</v>
      </c>
      <c r="N44" s="39">
        <v>536</v>
      </c>
      <c r="O44" s="27">
        <v>31</v>
      </c>
      <c r="P44" s="144">
        <f t="shared" si="19"/>
        <v>20</v>
      </c>
      <c r="Q44" s="39">
        <v>651</v>
      </c>
      <c r="R44" s="53">
        <v>40</v>
      </c>
      <c r="S44" s="144">
        <f t="shared" si="20"/>
        <v>11</v>
      </c>
      <c r="T44" s="58">
        <v>619</v>
      </c>
      <c r="U44" s="27">
        <v>39</v>
      </c>
      <c r="V44" s="144">
        <f t="shared" si="27"/>
        <v>12</v>
      </c>
      <c r="W44" s="39">
        <v>626</v>
      </c>
      <c r="X44" s="27">
        <v>36</v>
      </c>
      <c r="Y44" s="144">
        <f t="shared" si="21"/>
        <v>15</v>
      </c>
      <c r="Z44" s="39">
        <v>644</v>
      </c>
      <c r="AA44" s="82">
        <f t="shared" si="22"/>
        <v>7</v>
      </c>
      <c r="AB44" s="80">
        <f t="shared" si="23"/>
        <v>73</v>
      </c>
      <c r="AC44" s="80">
        <f t="shared" si="24"/>
        <v>73119.885714285716</v>
      </c>
      <c r="AD44" s="81">
        <f t="shared" si="25"/>
        <v>119.88571428571429</v>
      </c>
      <c r="AE44" s="81">
        <f t="shared" si="26"/>
        <v>599.42857142857144</v>
      </c>
      <c r="AG44"/>
    </row>
    <row r="45" spans="1:33">
      <c r="A45" s="2"/>
      <c r="B45" s="384">
        <f t="shared" si="14"/>
        <v>42</v>
      </c>
      <c r="C45" s="390" t="s">
        <v>104</v>
      </c>
      <c r="D45" s="376">
        <f t="shared" si="15"/>
        <v>1</v>
      </c>
      <c r="E45" s="391" t="s">
        <v>7</v>
      </c>
      <c r="F45" s="38">
        <v>45</v>
      </c>
      <c r="G45" s="144">
        <f t="shared" si="16"/>
        <v>6</v>
      </c>
      <c r="H45" s="40">
        <v>571</v>
      </c>
      <c r="I45" s="38">
        <v>43</v>
      </c>
      <c r="J45" s="144">
        <f t="shared" si="17"/>
        <v>8</v>
      </c>
      <c r="K45" s="40">
        <v>603</v>
      </c>
      <c r="L45" s="27">
        <v>39</v>
      </c>
      <c r="M45" s="144">
        <f t="shared" si="18"/>
        <v>12</v>
      </c>
      <c r="N45" s="39">
        <v>611</v>
      </c>
      <c r="O45" s="27">
        <v>37</v>
      </c>
      <c r="P45" s="144">
        <f t="shared" si="19"/>
        <v>14</v>
      </c>
      <c r="Q45" s="39">
        <v>601</v>
      </c>
      <c r="R45" s="53">
        <v>48</v>
      </c>
      <c r="S45" s="144">
        <f t="shared" si="20"/>
        <v>3</v>
      </c>
      <c r="T45" s="58">
        <v>539</v>
      </c>
      <c r="U45" s="27">
        <v>44</v>
      </c>
      <c r="V45" s="144">
        <f t="shared" si="27"/>
        <v>7</v>
      </c>
      <c r="W45" s="39">
        <v>598</v>
      </c>
      <c r="X45" s="27"/>
      <c r="Y45" s="144" t="str">
        <f t="shared" si="21"/>
        <v/>
      </c>
      <c r="Z45" s="39"/>
      <c r="AA45" s="82">
        <f t="shared" si="22"/>
        <v>6</v>
      </c>
      <c r="AB45" s="80">
        <f t="shared" si="23"/>
        <v>50</v>
      </c>
      <c r="AC45" s="80">
        <f t="shared" si="24"/>
        <v>50117.433333333334</v>
      </c>
      <c r="AD45" s="81">
        <f t="shared" si="25"/>
        <v>117.43333333333332</v>
      </c>
      <c r="AE45" s="81">
        <f t="shared" si="26"/>
        <v>587.16666666666663</v>
      </c>
      <c r="AG45"/>
    </row>
    <row r="46" spans="1:33">
      <c r="A46" s="2"/>
      <c r="B46" s="384">
        <f t="shared" si="14"/>
        <v>43</v>
      </c>
      <c r="C46" s="373" t="s">
        <v>15</v>
      </c>
      <c r="D46" s="376">
        <f t="shared" si="15"/>
        <v>0</v>
      </c>
      <c r="E46" s="385" t="s">
        <v>17</v>
      </c>
      <c r="F46" s="38">
        <v>42</v>
      </c>
      <c r="G46" s="144">
        <f t="shared" si="16"/>
        <v>9</v>
      </c>
      <c r="H46" s="40">
        <v>577</v>
      </c>
      <c r="I46" s="38"/>
      <c r="J46" s="144" t="str">
        <f t="shared" si="17"/>
        <v/>
      </c>
      <c r="K46" s="40"/>
      <c r="L46" s="27">
        <v>46</v>
      </c>
      <c r="M46" s="144">
        <f t="shared" si="18"/>
        <v>5</v>
      </c>
      <c r="N46" s="40">
        <v>564</v>
      </c>
      <c r="O46" s="27">
        <v>34</v>
      </c>
      <c r="P46" s="144">
        <f t="shared" si="19"/>
        <v>17</v>
      </c>
      <c r="Q46" s="39">
        <v>631</v>
      </c>
      <c r="R46" s="53">
        <v>45</v>
      </c>
      <c r="S46" s="144">
        <f t="shared" si="20"/>
        <v>6</v>
      </c>
      <c r="T46" s="58">
        <v>561</v>
      </c>
      <c r="U46" s="27">
        <v>48</v>
      </c>
      <c r="V46" s="144">
        <f t="shared" si="27"/>
        <v>3</v>
      </c>
      <c r="W46" s="39">
        <v>585</v>
      </c>
      <c r="X46" s="27"/>
      <c r="Y46" s="144" t="str">
        <f t="shared" si="21"/>
        <v/>
      </c>
      <c r="Z46" s="39"/>
      <c r="AA46" s="82">
        <f t="shared" si="22"/>
        <v>5</v>
      </c>
      <c r="AB46" s="80">
        <f t="shared" si="23"/>
        <v>40</v>
      </c>
      <c r="AC46" s="80">
        <f t="shared" si="24"/>
        <v>40116.720000000001</v>
      </c>
      <c r="AD46" s="81">
        <f t="shared" si="25"/>
        <v>116.72</v>
      </c>
      <c r="AE46" s="81">
        <f t="shared" si="26"/>
        <v>583.6</v>
      </c>
      <c r="AG46"/>
    </row>
    <row r="47" spans="1:33">
      <c r="A47" s="2"/>
      <c r="B47" s="384">
        <f t="shared" si="14"/>
        <v>44</v>
      </c>
      <c r="C47" s="396" t="s">
        <v>219</v>
      </c>
      <c r="D47" s="376">
        <f t="shared" si="15"/>
        <v>0</v>
      </c>
      <c r="E47" s="393" t="s">
        <v>4</v>
      </c>
      <c r="F47" s="38">
        <v>47</v>
      </c>
      <c r="G47" s="144">
        <f t="shared" si="16"/>
        <v>4</v>
      </c>
      <c r="H47" s="40">
        <v>553</v>
      </c>
      <c r="I47" s="38">
        <v>46</v>
      </c>
      <c r="J47" s="144">
        <f t="shared" si="17"/>
        <v>5</v>
      </c>
      <c r="K47" s="40">
        <v>573</v>
      </c>
      <c r="L47" s="38">
        <v>45</v>
      </c>
      <c r="M47" s="144">
        <f t="shared" si="18"/>
        <v>6</v>
      </c>
      <c r="N47" s="40">
        <v>567</v>
      </c>
      <c r="O47" s="38">
        <v>42</v>
      </c>
      <c r="P47" s="144">
        <f t="shared" si="19"/>
        <v>9</v>
      </c>
      <c r="Q47" s="40">
        <v>560</v>
      </c>
      <c r="R47" s="56">
        <v>37</v>
      </c>
      <c r="S47" s="144">
        <f t="shared" si="20"/>
        <v>14</v>
      </c>
      <c r="T47" s="63">
        <v>649</v>
      </c>
      <c r="U47" s="27"/>
      <c r="V47" s="144" t="str">
        <f t="shared" si="27"/>
        <v/>
      </c>
      <c r="W47" s="39"/>
      <c r="X47" s="27"/>
      <c r="Y47" s="144" t="str">
        <f t="shared" si="21"/>
        <v/>
      </c>
      <c r="Z47" s="39"/>
      <c r="AA47" s="82">
        <f t="shared" si="22"/>
        <v>5</v>
      </c>
      <c r="AB47" s="80">
        <f t="shared" si="23"/>
        <v>38</v>
      </c>
      <c r="AC47" s="80">
        <f t="shared" si="24"/>
        <v>38116.080000000002</v>
      </c>
      <c r="AD47" s="81">
        <f t="shared" si="25"/>
        <v>116.08</v>
      </c>
      <c r="AE47" s="81">
        <f t="shared" si="26"/>
        <v>580.4</v>
      </c>
      <c r="AG47"/>
    </row>
    <row r="48" spans="1:33">
      <c r="A48" s="2"/>
      <c r="B48" s="384">
        <f t="shared" si="14"/>
        <v>45</v>
      </c>
      <c r="C48" s="389" t="s">
        <v>29</v>
      </c>
      <c r="D48" s="376">
        <f t="shared" si="15"/>
        <v>0</v>
      </c>
      <c r="E48" s="393" t="s">
        <v>4</v>
      </c>
      <c r="F48" s="38">
        <v>48</v>
      </c>
      <c r="G48" s="144">
        <f t="shared" si="16"/>
        <v>3</v>
      </c>
      <c r="H48" s="40">
        <v>530</v>
      </c>
      <c r="I48" s="38">
        <v>47</v>
      </c>
      <c r="J48" s="144">
        <f t="shared" si="17"/>
        <v>4</v>
      </c>
      <c r="K48" s="40">
        <v>563</v>
      </c>
      <c r="L48" s="38"/>
      <c r="M48" s="144" t="str">
        <f t="shared" si="18"/>
        <v/>
      </c>
      <c r="N48" s="40"/>
      <c r="O48" s="38">
        <v>46</v>
      </c>
      <c r="P48" s="144">
        <f t="shared" si="19"/>
        <v>5</v>
      </c>
      <c r="Q48" s="40">
        <v>535</v>
      </c>
      <c r="R48" s="56"/>
      <c r="S48" s="144" t="str">
        <f t="shared" si="20"/>
        <v/>
      </c>
      <c r="T48" s="63"/>
      <c r="U48" s="27">
        <v>41</v>
      </c>
      <c r="V48" s="144">
        <f t="shared" si="27"/>
        <v>10</v>
      </c>
      <c r="W48" s="39">
        <v>615</v>
      </c>
      <c r="X48" s="27">
        <v>49</v>
      </c>
      <c r="Y48" s="144">
        <f t="shared" si="21"/>
        <v>2</v>
      </c>
      <c r="Z48" s="39">
        <v>544</v>
      </c>
      <c r="AA48" s="80">
        <f t="shared" si="22"/>
        <v>5</v>
      </c>
      <c r="AB48" s="80">
        <f t="shared" si="23"/>
        <v>24</v>
      </c>
      <c r="AC48" s="80">
        <f t="shared" si="24"/>
        <v>24111.48</v>
      </c>
      <c r="AD48" s="81">
        <f t="shared" si="25"/>
        <v>111.47999999999999</v>
      </c>
      <c r="AE48" s="81">
        <f t="shared" si="26"/>
        <v>557.4</v>
      </c>
      <c r="AG48"/>
    </row>
    <row r="49" spans="2:33">
      <c r="B49" s="384">
        <f t="shared" si="14"/>
        <v>46</v>
      </c>
      <c r="C49" s="831" t="s">
        <v>242</v>
      </c>
      <c r="D49" s="376">
        <f t="shared" si="15"/>
        <v>0</v>
      </c>
      <c r="E49" s="599" t="s">
        <v>6</v>
      </c>
      <c r="F49" s="27"/>
      <c r="G49" s="144" t="str">
        <f t="shared" si="16"/>
        <v/>
      </c>
      <c r="H49" s="39"/>
      <c r="I49" s="27"/>
      <c r="J49" s="144" t="str">
        <f t="shared" si="17"/>
        <v/>
      </c>
      <c r="K49" s="40"/>
      <c r="L49" s="38">
        <v>5</v>
      </c>
      <c r="M49" s="144">
        <f t="shared" si="18"/>
        <v>46</v>
      </c>
      <c r="N49" s="40">
        <v>846</v>
      </c>
      <c r="O49" s="27"/>
      <c r="P49" s="144" t="str">
        <f t="shared" si="19"/>
        <v/>
      </c>
      <c r="Q49" s="88"/>
      <c r="R49" s="56"/>
      <c r="S49" s="144" t="str">
        <f t="shared" si="20"/>
        <v/>
      </c>
      <c r="T49" s="63"/>
      <c r="U49" s="38"/>
      <c r="V49" s="144" t="str">
        <f t="shared" si="27"/>
        <v/>
      </c>
      <c r="W49" s="40"/>
      <c r="X49" s="27"/>
      <c r="Y49" s="144" t="str">
        <f t="shared" si="21"/>
        <v/>
      </c>
      <c r="Z49" s="39"/>
      <c r="AA49" s="82">
        <f t="shared" si="22"/>
        <v>1</v>
      </c>
      <c r="AB49" s="80">
        <f t="shared" si="23"/>
        <v>46</v>
      </c>
      <c r="AC49" s="80">
        <f t="shared" si="24"/>
        <v>46169.2</v>
      </c>
      <c r="AD49" s="81">
        <f t="shared" si="25"/>
        <v>169.2</v>
      </c>
      <c r="AE49" s="81">
        <f t="shared" si="26"/>
        <v>846</v>
      </c>
      <c r="AG49"/>
    </row>
    <row r="50" spans="2:33">
      <c r="B50" s="384">
        <f t="shared" si="14"/>
        <v>47</v>
      </c>
      <c r="C50" s="392" t="s">
        <v>119</v>
      </c>
      <c r="D50" s="376">
        <f t="shared" si="15"/>
        <v>0</v>
      </c>
      <c r="E50" s="391" t="s">
        <v>7</v>
      </c>
      <c r="F50" s="27"/>
      <c r="G50" s="144" t="str">
        <f t="shared" si="16"/>
        <v/>
      </c>
      <c r="H50" s="39"/>
      <c r="I50" s="27"/>
      <c r="J50" s="144" t="str">
        <f t="shared" si="17"/>
        <v/>
      </c>
      <c r="K50" s="39"/>
      <c r="L50" s="38"/>
      <c r="M50" s="144" t="str">
        <f t="shared" si="18"/>
        <v/>
      </c>
      <c r="N50" s="40"/>
      <c r="O50" s="27">
        <v>7</v>
      </c>
      <c r="P50" s="144">
        <f t="shared" si="19"/>
        <v>44</v>
      </c>
      <c r="Q50" s="88">
        <v>840</v>
      </c>
      <c r="R50" s="56"/>
      <c r="S50" s="144" t="str">
        <f t="shared" si="20"/>
        <v/>
      </c>
      <c r="T50" s="63"/>
      <c r="U50" s="38"/>
      <c r="V50" s="144" t="str">
        <f t="shared" si="27"/>
        <v/>
      </c>
      <c r="W50" s="40"/>
      <c r="X50" s="38"/>
      <c r="Y50" s="144" t="str">
        <f t="shared" si="21"/>
        <v/>
      </c>
      <c r="Z50" s="40"/>
      <c r="AA50" s="82">
        <f t="shared" si="22"/>
        <v>1</v>
      </c>
      <c r="AB50" s="80">
        <f t="shared" si="23"/>
        <v>44</v>
      </c>
      <c r="AC50" s="80">
        <f t="shared" si="24"/>
        <v>44168</v>
      </c>
      <c r="AD50" s="81">
        <f t="shared" si="25"/>
        <v>168</v>
      </c>
      <c r="AE50" s="81">
        <f t="shared" si="26"/>
        <v>840</v>
      </c>
      <c r="AG50"/>
    </row>
    <row r="51" spans="2:33">
      <c r="B51" s="384">
        <f t="shared" si="14"/>
        <v>48</v>
      </c>
      <c r="C51" s="379" t="s">
        <v>100</v>
      </c>
      <c r="D51" s="376">
        <f t="shared" si="15"/>
        <v>0</v>
      </c>
      <c r="E51" s="391" t="s">
        <v>7</v>
      </c>
      <c r="F51" s="27"/>
      <c r="G51" s="144" t="str">
        <f t="shared" si="16"/>
        <v/>
      </c>
      <c r="H51" s="39"/>
      <c r="I51" s="27">
        <v>4</v>
      </c>
      <c r="J51" s="144">
        <f t="shared" si="17"/>
        <v>47</v>
      </c>
      <c r="K51" s="40">
        <v>896</v>
      </c>
      <c r="L51" s="27">
        <v>9</v>
      </c>
      <c r="M51" s="144">
        <f t="shared" si="18"/>
        <v>42</v>
      </c>
      <c r="N51" s="151">
        <v>824</v>
      </c>
      <c r="O51" s="27"/>
      <c r="P51" s="144" t="str">
        <f t="shared" si="19"/>
        <v/>
      </c>
      <c r="Q51" s="88"/>
      <c r="R51" s="53">
        <v>6</v>
      </c>
      <c r="S51" s="144">
        <f t="shared" si="20"/>
        <v>45</v>
      </c>
      <c r="T51" s="73">
        <v>826</v>
      </c>
      <c r="U51" s="27"/>
      <c r="V51" s="144" t="str">
        <f t="shared" si="27"/>
        <v/>
      </c>
      <c r="W51" s="39"/>
      <c r="X51" s="38">
        <v>18</v>
      </c>
      <c r="Y51" s="144">
        <f t="shared" si="21"/>
        <v>33</v>
      </c>
      <c r="Z51" s="40">
        <v>757</v>
      </c>
      <c r="AA51" s="82">
        <f t="shared" si="22"/>
        <v>4</v>
      </c>
      <c r="AB51" s="80">
        <f t="shared" si="23"/>
        <v>167</v>
      </c>
      <c r="AC51" s="80">
        <f t="shared" si="24"/>
        <v>167165.15</v>
      </c>
      <c r="AD51" s="81">
        <f t="shared" si="25"/>
        <v>165.15</v>
      </c>
      <c r="AE51" s="81">
        <f t="shared" si="26"/>
        <v>825.75</v>
      </c>
      <c r="AG51"/>
    </row>
    <row r="52" spans="2:33">
      <c r="B52" s="384">
        <f t="shared" si="14"/>
        <v>49</v>
      </c>
      <c r="C52" s="379" t="s">
        <v>72</v>
      </c>
      <c r="D52" s="376">
        <f t="shared" si="15"/>
        <v>0</v>
      </c>
      <c r="E52" s="391" t="s">
        <v>7</v>
      </c>
      <c r="F52" s="27">
        <v>6</v>
      </c>
      <c r="G52" s="144">
        <f t="shared" si="16"/>
        <v>45</v>
      </c>
      <c r="H52" s="39">
        <v>830</v>
      </c>
      <c r="I52" s="27"/>
      <c r="J52" s="144" t="str">
        <f t="shared" si="17"/>
        <v/>
      </c>
      <c r="K52" s="40"/>
      <c r="L52" s="27"/>
      <c r="M52" s="144" t="str">
        <f t="shared" si="18"/>
        <v/>
      </c>
      <c r="N52" s="151"/>
      <c r="O52" s="27"/>
      <c r="P52" s="144" t="str">
        <f t="shared" si="19"/>
        <v/>
      </c>
      <c r="Q52" s="88"/>
      <c r="R52" s="53"/>
      <c r="S52" s="144" t="str">
        <f t="shared" si="20"/>
        <v/>
      </c>
      <c r="T52" s="73"/>
      <c r="U52" s="27"/>
      <c r="V52" s="144" t="str">
        <f t="shared" si="27"/>
        <v/>
      </c>
      <c r="W52" s="39"/>
      <c r="X52" s="38">
        <v>16</v>
      </c>
      <c r="Y52" s="144">
        <f t="shared" si="21"/>
        <v>35</v>
      </c>
      <c r="Z52" s="40">
        <v>766</v>
      </c>
      <c r="AA52" s="82">
        <f t="shared" si="22"/>
        <v>2</v>
      </c>
      <c r="AB52" s="80">
        <f t="shared" si="23"/>
        <v>80</v>
      </c>
      <c r="AC52" s="80">
        <f t="shared" si="24"/>
        <v>80159.600000000006</v>
      </c>
      <c r="AD52" s="81">
        <f t="shared" si="25"/>
        <v>159.6</v>
      </c>
      <c r="AE52" s="81">
        <f t="shared" si="26"/>
        <v>798</v>
      </c>
      <c r="AG52"/>
    </row>
    <row r="53" spans="2:33">
      <c r="B53" s="384">
        <f t="shared" si="14"/>
        <v>50</v>
      </c>
      <c r="C53" s="388" t="s">
        <v>244</v>
      </c>
      <c r="D53" s="376">
        <f t="shared" si="15"/>
        <v>0</v>
      </c>
      <c r="E53" s="395" t="s">
        <v>0</v>
      </c>
      <c r="F53" s="27"/>
      <c r="G53" s="144" t="str">
        <f t="shared" si="16"/>
        <v/>
      </c>
      <c r="H53" s="39"/>
      <c r="I53" s="27"/>
      <c r="J53" s="144" t="str">
        <f t="shared" si="17"/>
        <v/>
      </c>
      <c r="K53" s="40"/>
      <c r="L53" s="27">
        <v>23</v>
      </c>
      <c r="M53" s="144">
        <f t="shared" si="18"/>
        <v>28</v>
      </c>
      <c r="N53" s="151">
        <v>720</v>
      </c>
      <c r="O53" s="27"/>
      <c r="P53" s="144" t="str">
        <f t="shared" si="19"/>
        <v/>
      </c>
      <c r="Q53" s="88"/>
      <c r="R53" s="53"/>
      <c r="S53" s="144" t="str">
        <f t="shared" si="20"/>
        <v/>
      </c>
      <c r="T53" s="73"/>
      <c r="U53" s="27">
        <v>12</v>
      </c>
      <c r="V53" s="144">
        <f t="shared" si="27"/>
        <v>39</v>
      </c>
      <c r="W53" s="39">
        <v>778</v>
      </c>
      <c r="X53" s="254">
        <v>1</v>
      </c>
      <c r="Y53" s="144">
        <f t="shared" si="21"/>
        <v>50</v>
      </c>
      <c r="Z53" s="204">
        <v>893</v>
      </c>
      <c r="AA53" s="82">
        <f t="shared" si="22"/>
        <v>3</v>
      </c>
      <c r="AB53" s="80">
        <f t="shared" si="23"/>
        <v>117</v>
      </c>
      <c r="AC53" s="80">
        <f t="shared" si="24"/>
        <v>117159.4</v>
      </c>
      <c r="AD53" s="81">
        <f t="shared" si="25"/>
        <v>159.4</v>
      </c>
      <c r="AE53" s="81">
        <f t="shared" si="26"/>
        <v>797</v>
      </c>
      <c r="AG53"/>
    </row>
    <row r="54" spans="2:33">
      <c r="B54" s="384">
        <f t="shared" si="14"/>
        <v>51</v>
      </c>
      <c r="C54" s="606" t="s">
        <v>97</v>
      </c>
      <c r="D54" s="376">
        <f t="shared" si="15"/>
        <v>0</v>
      </c>
      <c r="E54" s="394" t="s">
        <v>17</v>
      </c>
      <c r="F54" s="27">
        <v>16</v>
      </c>
      <c r="G54" s="144">
        <f t="shared" si="16"/>
        <v>35</v>
      </c>
      <c r="H54" s="39">
        <v>744</v>
      </c>
      <c r="I54" s="27"/>
      <c r="J54" s="144" t="str">
        <f t="shared" si="17"/>
        <v/>
      </c>
      <c r="K54" s="40"/>
      <c r="L54" s="27"/>
      <c r="M54" s="144" t="str">
        <f t="shared" si="18"/>
        <v/>
      </c>
      <c r="N54" s="151"/>
      <c r="O54" s="27"/>
      <c r="P54" s="144" t="str">
        <f t="shared" si="19"/>
        <v/>
      </c>
      <c r="Q54" s="88"/>
      <c r="R54" s="53">
        <v>23</v>
      </c>
      <c r="S54" s="144">
        <f t="shared" si="20"/>
        <v>28</v>
      </c>
      <c r="T54" s="73">
        <v>717</v>
      </c>
      <c r="U54" s="27">
        <v>30</v>
      </c>
      <c r="V54" s="144">
        <f t="shared" si="27"/>
        <v>21</v>
      </c>
      <c r="W54" s="39">
        <v>664</v>
      </c>
      <c r="X54" s="38">
        <v>14</v>
      </c>
      <c r="Y54" s="144">
        <f t="shared" si="21"/>
        <v>37</v>
      </c>
      <c r="Z54" s="40">
        <v>792</v>
      </c>
      <c r="AA54" s="82">
        <f t="shared" si="22"/>
        <v>4</v>
      </c>
      <c r="AB54" s="80">
        <f t="shared" si="23"/>
        <v>121</v>
      </c>
      <c r="AC54" s="80">
        <f t="shared" si="24"/>
        <v>121145.85</v>
      </c>
      <c r="AD54" s="81">
        <f t="shared" si="25"/>
        <v>145.85</v>
      </c>
      <c r="AE54" s="81">
        <f t="shared" si="26"/>
        <v>729.25</v>
      </c>
      <c r="AG54"/>
    </row>
    <row r="55" spans="2:33">
      <c r="B55" s="384">
        <f t="shared" si="14"/>
        <v>52</v>
      </c>
      <c r="C55" s="379" t="s">
        <v>44</v>
      </c>
      <c r="D55" s="376">
        <f t="shared" si="15"/>
        <v>0</v>
      </c>
      <c r="E55" s="391" t="s">
        <v>7</v>
      </c>
      <c r="F55" s="27"/>
      <c r="G55" s="144" t="str">
        <f t="shared" si="16"/>
        <v/>
      </c>
      <c r="H55" s="39"/>
      <c r="I55" s="27">
        <v>31</v>
      </c>
      <c r="J55" s="144">
        <f t="shared" si="17"/>
        <v>20</v>
      </c>
      <c r="K55" s="39">
        <v>662</v>
      </c>
      <c r="L55" s="27"/>
      <c r="M55" s="144" t="str">
        <f t="shared" si="18"/>
        <v/>
      </c>
      <c r="N55" s="151"/>
      <c r="O55" s="27">
        <v>18</v>
      </c>
      <c r="P55" s="144">
        <f t="shared" si="19"/>
        <v>33</v>
      </c>
      <c r="Q55" s="88">
        <v>725</v>
      </c>
      <c r="R55" s="53"/>
      <c r="S55" s="144" t="str">
        <f t="shared" si="20"/>
        <v/>
      </c>
      <c r="T55" s="73"/>
      <c r="U55" s="27">
        <v>16</v>
      </c>
      <c r="V55" s="144">
        <f t="shared" si="27"/>
        <v>35</v>
      </c>
      <c r="W55" s="39">
        <v>755</v>
      </c>
      <c r="X55" s="27"/>
      <c r="Y55" s="144" t="str">
        <f t="shared" si="21"/>
        <v/>
      </c>
      <c r="Z55" s="39"/>
      <c r="AA55" s="82">
        <f t="shared" si="22"/>
        <v>3</v>
      </c>
      <c r="AB55" s="80">
        <f t="shared" si="23"/>
        <v>88</v>
      </c>
      <c r="AC55" s="80">
        <f t="shared" si="24"/>
        <v>88142.8</v>
      </c>
      <c r="AD55" s="81">
        <f t="shared" si="25"/>
        <v>142.80000000000001</v>
      </c>
      <c r="AE55" s="81">
        <f t="shared" si="26"/>
        <v>714</v>
      </c>
      <c r="AG55"/>
    </row>
    <row r="56" spans="2:33">
      <c r="B56" s="384">
        <f t="shared" si="14"/>
        <v>53</v>
      </c>
      <c r="C56" s="382" t="s">
        <v>80</v>
      </c>
      <c r="D56" s="376">
        <f t="shared" si="15"/>
        <v>0</v>
      </c>
      <c r="E56" s="393" t="s">
        <v>4</v>
      </c>
      <c r="F56" s="27"/>
      <c r="G56" s="144" t="str">
        <f t="shared" si="16"/>
        <v/>
      </c>
      <c r="H56" s="39"/>
      <c r="I56" s="27">
        <v>17</v>
      </c>
      <c r="J56" s="144">
        <f t="shared" si="17"/>
        <v>34</v>
      </c>
      <c r="K56" s="39">
        <v>751</v>
      </c>
      <c r="L56" s="27">
        <v>37</v>
      </c>
      <c r="M56" s="144">
        <f t="shared" si="18"/>
        <v>14</v>
      </c>
      <c r="N56" s="151">
        <v>660</v>
      </c>
      <c r="O56" s="27"/>
      <c r="P56" s="144" t="str">
        <f t="shared" si="19"/>
        <v/>
      </c>
      <c r="Q56" s="88"/>
      <c r="R56" s="53"/>
      <c r="S56" s="144" t="str">
        <f t="shared" si="20"/>
        <v/>
      </c>
      <c r="T56" s="73"/>
      <c r="U56" s="27"/>
      <c r="V56" s="144" t="str">
        <f t="shared" si="27"/>
        <v/>
      </c>
      <c r="W56" s="39"/>
      <c r="X56" s="27"/>
      <c r="Y56" s="144" t="str">
        <f t="shared" si="21"/>
        <v/>
      </c>
      <c r="Z56" s="39"/>
      <c r="AA56" s="80">
        <f t="shared" si="22"/>
        <v>2</v>
      </c>
      <c r="AB56" s="80">
        <f t="shared" si="23"/>
        <v>48</v>
      </c>
      <c r="AC56" s="80">
        <f t="shared" si="24"/>
        <v>48141.1</v>
      </c>
      <c r="AD56" s="81">
        <f t="shared" si="25"/>
        <v>141.1</v>
      </c>
      <c r="AE56" s="81">
        <f t="shared" si="26"/>
        <v>705.5</v>
      </c>
      <c r="AG56"/>
    </row>
    <row r="57" spans="2:33">
      <c r="B57" s="384">
        <f t="shared" si="14"/>
        <v>54</v>
      </c>
      <c r="C57" s="382" t="s">
        <v>124</v>
      </c>
      <c r="D57" s="376">
        <f t="shared" si="15"/>
        <v>0</v>
      </c>
      <c r="E57" s="393" t="s">
        <v>4</v>
      </c>
      <c r="F57" s="27"/>
      <c r="G57" s="144"/>
      <c r="H57" s="39"/>
      <c r="I57" s="27"/>
      <c r="J57" s="144"/>
      <c r="K57" s="40"/>
      <c r="L57" s="27"/>
      <c r="M57" s="144"/>
      <c r="N57" s="39"/>
      <c r="O57" s="27">
        <v>11</v>
      </c>
      <c r="P57" s="144">
        <f t="shared" si="19"/>
        <v>40</v>
      </c>
      <c r="Q57" s="88">
        <v>779</v>
      </c>
      <c r="R57" s="53">
        <v>36</v>
      </c>
      <c r="S57" s="144">
        <f t="shared" si="20"/>
        <v>15</v>
      </c>
      <c r="T57" s="73">
        <v>667</v>
      </c>
      <c r="U57" s="27">
        <v>20</v>
      </c>
      <c r="V57" s="144">
        <f t="shared" si="27"/>
        <v>31</v>
      </c>
      <c r="W57" s="39">
        <v>716</v>
      </c>
      <c r="X57" s="27">
        <v>37</v>
      </c>
      <c r="Y57" s="144">
        <f t="shared" si="21"/>
        <v>14</v>
      </c>
      <c r="Z57" s="39">
        <v>642</v>
      </c>
      <c r="AA57" s="82">
        <f t="shared" si="22"/>
        <v>4</v>
      </c>
      <c r="AB57" s="80">
        <f t="shared" si="23"/>
        <v>100</v>
      </c>
      <c r="AC57" s="80">
        <f t="shared" si="24"/>
        <v>100140.2</v>
      </c>
      <c r="AD57" s="81">
        <f t="shared" si="25"/>
        <v>140.19999999999999</v>
      </c>
      <c r="AE57" s="81">
        <f t="shared" si="26"/>
        <v>701</v>
      </c>
      <c r="AG57"/>
    </row>
    <row r="58" spans="2:33">
      <c r="B58" s="384">
        <f t="shared" si="14"/>
        <v>55</v>
      </c>
      <c r="C58" s="379" t="s">
        <v>98</v>
      </c>
      <c r="D58" s="376">
        <f t="shared" si="15"/>
        <v>0</v>
      </c>
      <c r="E58" s="391" t="s">
        <v>7</v>
      </c>
      <c r="F58" s="27"/>
      <c r="G58" s="144" t="str">
        <f>IF(F58="","",IF(F58&gt;50,"",51-F58))</f>
        <v/>
      </c>
      <c r="H58" s="39"/>
      <c r="I58" s="27"/>
      <c r="J58" s="144" t="str">
        <f>IF(I58="","",IF(I58&gt;50,"",51-I58))</f>
        <v/>
      </c>
      <c r="K58" s="39"/>
      <c r="L58" s="27">
        <v>36</v>
      </c>
      <c r="M58" s="144">
        <f>IF(L58="","",IF(L58&gt;50,"",51-L58))</f>
        <v>15</v>
      </c>
      <c r="N58" s="151">
        <v>665</v>
      </c>
      <c r="O58" s="27">
        <v>19</v>
      </c>
      <c r="P58" s="144">
        <f t="shared" si="19"/>
        <v>32</v>
      </c>
      <c r="Q58" s="88">
        <v>724</v>
      </c>
      <c r="R58" s="53"/>
      <c r="S58" s="144" t="str">
        <f t="shared" si="20"/>
        <v/>
      </c>
      <c r="T58" s="73"/>
      <c r="U58" s="27"/>
      <c r="V58" s="144" t="str">
        <f t="shared" si="27"/>
        <v/>
      </c>
      <c r="W58" s="39"/>
      <c r="X58" s="27"/>
      <c r="Y58" s="144" t="str">
        <f t="shared" si="21"/>
        <v/>
      </c>
      <c r="Z58" s="39"/>
      <c r="AA58" s="82">
        <f t="shared" si="22"/>
        <v>2</v>
      </c>
      <c r="AB58" s="80">
        <f t="shared" si="23"/>
        <v>47</v>
      </c>
      <c r="AC58" s="80">
        <f t="shared" si="24"/>
        <v>47138.9</v>
      </c>
      <c r="AD58" s="81">
        <f t="shared" si="25"/>
        <v>138.9</v>
      </c>
      <c r="AE58" s="81">
        <f t="shared" si="26"/>
        <v>694.5</v>
      </c>
      <c r="AG58"/>
    </row>
    <row r="59" spans="2:33">
      <c r="B59" s="384">
        <f t="shared" si="14"/>
        <v>56</v>
      </c>
      <c r="C59" s="389" t="s">
        <v>31</v>
      </c>
      <c r="D59" s="376">
        <f t="shared" si="15"/>
        <v>0</v>
      </c>
      <c r="E59" s="383" t="s">
        <v>4</v>
      </c>
      <c r="F59" s="27">
        <v>28</v>
      </c>
      <c r="G59" s="144">
        <f>IF(F59="","",IF(F59&gt;50,"",51-F59))</f>
        <v>23</v>
      </c>
      <c r="H59" s="39">
        <v>661</v>
      </c>
      <c r="I59" s="27"/>
      <c r="J59" s="144" t="str">
        <f>IF(I59="","",IF(I59&gt;50,"",51-I59))</f>
        <v/>
      </c>
      <c r="K59" s="39"/>
      <c r="L59" s="27"/>
      <c r="M59" s="144" t="str">
        <f>IF(L59="","",IF(L59&gt;50,"",51-L59))</f>
        <v/>
      </c>
      <c r="N59" s="151"/>
      <c r="O59" s="27"/>
      <c r="P59" s="144" t="str">
        <f t="shared" si="19"/>
        <v/>
      </c>
      <c r="Q59" s="88"/>
      <c r="R59" s="53"/>
      <c r="S59" s="144" t="str">
        <f t="shared" si="20"/>
        <v/>
      </c>
      <c r="T59" s="73"/>
      <c r="U59" s="27">
        <v>23</v>
      </c>
      <c r="V59" s="144">
        <f t="shared" si="27"/>
        <v>28</v>
      </c>
      <c r="W59" s="39">
        <v>695</v>
      </c>
      <c r="X59" s="27">
        <v>24</v>
      </c>
      <c r="Y59" s="144">
        <f t="shared" si="21"/>
        <v>27</v>
      </c>
      <c r="Z59" s="39">
        <v>697</v>
      </c>
      <c r="AA59" s="82">
        <f t="shared" si="22"/>
        <v>3</v>
      </c>
      <c r="AB59" s="80">
        <f t="shared" si="23"/>
        <v>78</v>
      </c>
      <c r="AC59" s="80">
        <f t="shared" si="24"/>
        <v>78136.866666666669</v>
      </c>
      <c r="AD59" s="81">
        <f t="shared" si="25"/>
        <v>136.86666666666667</v>
      </c>
      <c r="AE59" s="81">
        <f t="shared" si="26"/>
        <v>684.33333333333337</v>
      </c>
      <c r="AG59"/>
    </row>
    <row r="60" spans="2:33">
      <c r="B60" s="384">
        <f t="shared" si="14"/>
        <v>57</v>
      </c>
      <c r="C60" s="377" t="s">
        <v>290</v>
      </c>
      <c r="D60" s="376">
        <f t="shared" si="15"/>
        <v>0</v>
      </c>
      <c r="E60" s="378" t="s">
        <v>6</v>
      </c>
      <c r="F60" s="27"/>
      <c r="G60" s="144" t="str">
        <f>IF(F60="","",IF(F60&gt;50,"",51-F60))</f>
        <v/>
      </c>
      <c r="H60" s="39"/>
      <c r="I60" s="27"/>
      <c r="J60" s="144" t="str">
        <f>IF(I60="","",IF(I60&gt;50,"",51-I60))</f>
        <v/>
      </c>
      <c r="K60" s="39"/>
      <c r="L60" s="27"/>
      <c r="M60" s="144" t="str">
        <f>IF(L60="","",IF(L60&gt;50,"",51-L60))</f>
        <v/>
      </c>
      <c r="N60" s="151"/>
      <c r="O60" s="27"/>
      <c r="P60" s="144" t="str">
        <f t="shared" si="19"/>
        <v/>
      </c>
      <c r="Q60" s="88"/>
      <c r="R60" s="53">
        <v>21</v>
      </c>
      <c r="S60" s="144">
        <f t="shared" si="20"/>
        <v>30</v>
      </c>
      <c r="T60" s="73">
        <v>721</v>
      </c>
      <c r="U60" s="27">
        <v>28</v>
      </c>
      <c r="V60" s="144">
        <f t="shared" si="27"/>
        <v>23</v>
      </c>
      <c r="W60" s="39">
        <v>674</v>
      </c>
      <c r="X60" s="27">
        <v>34</v>
      </c>
      <c r="Y60" s="144">
        <f t="shared" si="21"/>
        <v>17</v>
      </c>
      <c r="Z60" s="39">
        <v>649</v>
      </c>
      <c r="AA60" s="80">
        <f t="shared" si="22"/>
        <v>3</v>
      </c>
      <c r="AB60" s="80">
        <f t="shared" si="23"/>
        <v>70</v>
      </c>
      <c r="AC60" s="80">
        <f t="shared" si="24"/>
        <v>70136.266666666663</v>
      </c>
      <c r="AD60" s="81">
        <f t="shared" si="25"/>
        <v>136.26666666666668</v>
      </c>
      <c r="AE60" s="81">
        <f t="shared" si="26"/>
        <v>681.33333333333337</v>
      </c>
      <c r="AG60"/>
    </row>
    <row r="61" spans="2:33">
      <c r="B61" s="384">
        <f t="shared" si="14"/>
        <v>58</v>
      </c>
      <c r="C61" s="388" t="s">
        <v>42</v>
      </c>
      <c r="D61" s="376">
        <f t="shared" si="15"/>
        <v>0</v>
      </c>
      <c r="E61" s="381" t="s">
        <v>0</v>
      </c>
      <c r="F61" s="27"/>
      <c r="G61" s="144" t="str">
        <f>IF(F61="","",IF(F61&gt;50,"",51-F61))</f>
        <v/>
      </c>
      <c r="H61" s="39"/>
      <c r="I61" s="27"/>
      <c r="J61" s="144" t="str">
        <f>IF(I61="","",IF(I61&gt;50,"",51-I61))</f>
        <v/>
      </c>
      <c r="K61" s="39"/>
      <c r="L61" s="27"/>
      <c r="M61" s="144" t="str">
        <f>IF(L61="","",IF(L61&gt;50,"",51-L61))</f>
        <v/>
      </c>
      <c r="N61" s="151"/>
      <c r="O61" s="27">
        <v>26</v>
      </c>
      <c r="P61" s="144">
        <f t="shared" si="19"/>
        <v>25</v>
      </c>
      <c r="Q61" s="88">
        <v>681</v>
      </c>
      <c r="R61" s="53"/>
      <c r="S61" s="144" t="str">
        <f t="shared" si="20"/>
        <v/>
      </c>
      <c r="T61" s="73"/>
      <c r="U61" s="27"/>
      <c r="V61" s="144" t="str">
        <f t="shared" si="27"/>
        <v/>
      </c>
      <c r="W61" s="39"/>
      <c r="X61" s="27"/>
      <c r="Y61" s="144" t="str">
        <f t="shared" si="21"/>
        <v/>
      </c>
      <c r="Z61" s="39"/>
      <c r="AA61" s="82">
        <f t="shared" si="22"/>
        <v>1</v>
      </c>
      <c r="AB61" s="80">
        <f t="shared" si="23"/>
        <v>25</v>
      </c>
      <c r="AC61" s="80">
        <f t="shared" si="24"/>
        <v>25136.2</v>
      </c>
      <c r="AD61" s="81">
        <f t="shared" si="25"/>
        <v>136.19999999999999</v>
      </c>
      <c r="AE61" s="81">
        <f t="shared" si="26"/>
        <v>681</v>
      </c>
      <c r="AG61"/>
    </row>
    <row r="62" spans="2:33">
      <c r="B62" s="384">
        <f t="shared" si="14"/>
        <v>59</v>
      </c>
      <c r="C62" s="382" t="s">
        <v>92</v>
      </c>
      <c r="D62" s="376">
        <f t="shared" si="15"/>
        <v>0</v>
      </c>
      <c r="E62" s="383" t="s">
        <v>4</v>
      </c>
      <c r="F62" s="27"/>
      <c r="G62" s="144" t="str">
        <f>IF(F62="","",IF(F62&gt;50,"",51-F62))</f>
        <v/>
      </c>
      <c r="H62" s="39"/>
      <c r="I62" s="27">
        <v>28</v>
      </c>
      <c r="J62" s="144">
        <f>IF(I62="","",IF(I62&gt;50,"",51-I62))</f>
        <v>23</v>
      </c>
      <c r="K62" s="39">
        <v>686</v>
      </c>
      <c r="L62" s="27"/>
      <c r="M62" s="144" t="str">
        <f>IF(L62="","",IF(L62&gt;50,"",51-L62))</f>
        <v/>
      </c>
      <c r="N62" s="151"/>
      <c r="O62" s="27"/>
      <c r="P62" s="144" t="str">
        <f t="shared" si="19"/>
        <v/>
      </c>
      <c r="Q62" s="88"/>
      <c r="R62" s="53"/>
      <c r="S62" s="144" t="str">
        <f t="shared" si="20"/>
        <v/>
      </c>
      <c r="T62" s="73"/>
      <c r="U62" s="27">
        <v>33</v>
      </c>
      <c r="V62" s="144">
        <f t="shared" si="27"/>
        <v>18</v>
      </c>
      <c r="W62" s="39">
        <v>645</v>
      </c>
      <c r="X62" s="27"/>
      <c r="Y62" s="144" t="str">
        <f t="shared" si="21"/>
        <v/>
      </c>
      <c r="Z62" s="39"/>
      <c r="AA62" s="82">
        <f t="shared" si="22"/>
        <v>2</v>
      </c>
      <c r="AB62" s="80">
        <f t="shared" si="23"/>
        <v>41</v>
      </c>
      <c r="AC62" s="80">
        <f t="shared" si="24"/>
        <v>41133.1</v>
      </c>
      <c r="AD62" s="81">
        <f t="shared" si="25"/>
        <v>133.1</v>
      </c>
      <c r="AE62" s="81">
        <f t="shared" si="26"/>
        <v>665.5</v>
      </c>
      <c r="AG62"/>
    </row>
    <row r="63" spans="2:33">
      <c r="B63" s="384">
        <f t="shared" si="14"/>
        <v>60</v>
      </c>
      <c r="C63" s="375" t="s">
        <v>125</v>
      </c>
      <c r="D63" s="376">
        <f t="shared" si="15"/>
        <v>0</v>
      </c>
      <c r="E63" s="381" t="s">
        <v>0</v>
      </c>
      <c r="F63" s="27"/>
      <c r="G63" s="144"/>
      <c r="H63" s="39"/>
      <c r="I63" s="27"/>
      <c r="J63" s="144"/>
      <c r="K63" s="88"/>
      <c r="L63" s="27"/>
      <c r="M63" s="144"/>
      <c r="N63" s="151"/>
      <c r="O63" s="27"/>
      <c r="P63" s="144" t="str">
        <f t="shared" si="19"/>
        <v/>
      </c>
      <c r="Q63" s="88"/>
      <c r="R63" s="53">
        <v>38</v>
      </c>
      <c r="S63" s="144">
        <f t="shared" si="20"/>
        <v>13</v>
      </c>
      <c r="T63" s="73">
        <v>640</v>
      </c>
      <c r="U63" s="27"/>
      <c r="V63" s="144"/>
      <c r="W63" s="39"/>
      <c r="X63" s="27"/>
      <c r="Y63" s="144" t="str">
        <f t="shared" si="21"/>
        <v/>
      </c>
      <c r="Z63" s="39"/>
      <c r="AA63" s="82">
        <f t="shared" si="22"/>
        <v>1</v>
      </c>
      <c r="AB63" s="80">
        <f t="shared" si="23"/>
        <v>13</v>
      </c>
      <c r="AC63" s="80">
        <f t="shared" si="24"/>
        <v>13128</v>
      </c>
      <c r="AD63" s="81">
        <f t="shared" si="25"/>
        <v>128</v>
      </c>
      <c r="AE63" s="81">
        <f t="shared" si="26"/>
        <v>640</v>
      </c>
      <c r="AG63"/>
    </row>
    <row r="64" spans="2:33">
      <c r="B64" s="384">
        <f t="shared" si="14"/>
        <v>61</v>
      </c>
      <c r="C64" s="399" t="s">
        <v>117</v>
      </c>
      <c r="D64" s="376">
        <f t="shared" si="15"/>
        <v>0</v>
      </c>
      <c r="E64" s="383" t="s">
        <v>4</v>
      </c>
      <c r="F64" s="27"/>
      <c r="G64" s="144" t="str">
        <f t="shared" ref="G64:G71" si="28">IF(F64="","",IF(F64&gt;50,"",51-F64))</f>
        <v/>
      </c>
      <c r="H64" s="39"/>
      <c r="I64" s="27">
        <v>38</v>
      </c>
      <c r="J64" s="144">
        <f t="shared" ref="J64:J71" si="29">IF(I64="","",IF(I64&gt;50,"",51-I64))</f>
        <v>13</v>
      </c>
      <c r="K64" s="88">
        <v>621</v>
      </c>
      <c r="L64" s="27"/>
      <c r="M64" s="144" t="str">
        <f t="shared" ref="M64:M71" si="30">IF(L64="","",IF(L64&gt;50,"",51-L64))</f>
        <v/>
      </c>
      <c r="N64" s="151"/>
      <c r="O64" s="27"/>
      <c r="P64" s="144" t="str">
        <f t="shared" si="19"/>
        <v/>
      </c>
      <c r="Q64" s="88"/>
      <c r="R64" s="53"/>
      <c r="S64" s="144" t="str">
        <f t="shared" si="20"/>
        <v/>
      </c>
      <c r="T64" s="73"/>
      <c r="U64" s="27">
        <v>32</v>
      </c>
      <c r="V64" s="144">
        <f t="shared" ref="V64:V76" si="31">IF(U64="","",IF(U64&gt;50,"",51-U64))</f>
        <v>19</v>
      </c>
      <c r="W64" s="39">
        <v>650</v>
      </c>
      <c r="X64" s="27"/>
      <c r="Y64" s="144" t="str">
        <f t="shared" si="21"/>
        <v/>
      </c>
      <c r="Z64" s="39"/>
      <c r="AA64" s="82">
        <f t="shared" si="22"/>
        <v>2</v>
      </c>
      <c r="AB64" s="80">
        <f t="shared" si="23"/>
        <v>32</v>
      </c>
      <c r="AC64" s="80">
        <f t="shared" si="24"/>
        <v>32127.1</v>
      </c>
      <c r="AD64" s="81">
        <f t="shared" si="25"/>
        <v>127.1</v>
      </c>
      <c r="AE64" s="81">
        <f t="shared" si="26"/>
        <v>635.5</v>
      </c>
      <c r="AG64"/>
    </row>
    <row r="65" spans="2:33">
      <c r="B65" s="384">
        <f t="shared" si="14"/>
        <v>62</v>
      </c>
      <c r="C65" s="397" t="s">
        <v>73</v>
      </c>
      <c r="D65" s="376">
        <f t="shared" si="15"/>
        <v>0</v>
      </c>
      <c r="E65" s="385" t="s">
        <v>17</v>
      </c>
      <c r="F65" s="27"/>
      <c r="G65" s="144" t="str">
        <f t="shared" si="28"/>
        <v/>
      </c>
      <c r="H65" s="39"/>
      <c r="I65" s="27">
        <v>44</v>
      </c>
      <c r="J65" s="144">
        <f t="shared" si="29"/>
        <v>7</v>
      </c>
      <c r="K65" s="39">
        <v>598</v>
      </c>
      <c r="L65" s="27">
        <v>35</v>
      </c>
      <c r="M65" s="144">
        <f t="shared" si="30"/>
        <v>16</v>
      </c>
      <c r="N65" s="151">
        <v>669</v>
      </c>
      <c r="O65" s="27"/>
      <c r="P65" s="144" t="str">
        <f t="shared" si="19"/>
        <v/>
      </c>
      <c r="Q65" s="88"/>
      <c r="R65" s="53">
        <v>25</v>
      </c>
      <c r="S65" s="144">
        <f t="shared" si="20"/>
        <v>26</v>
      </c>
      <c r="T65" s="73">
        <v>704</v>
      </c>
      <c r="U65" s="27"/>
      <c r="V65" s="144" t="str">
        <f t="shared" si="31"/>
        <v/>
      </c>
      <c r="W65" s="39"/>
      <c r="X65" s="27">
        <v>48</v>
      </c>
      <c r="Y65" s="144">
        <f t="shared" si="21"/>
        <v>3</v>
      </c>
      <c r="Z65" s="39">
        <v>551</v>
      </c>
      <c r="AA65" s="82">
        <f t="shared" si="22"/>
        <v>4</v>
      </c>
      <c r="AB65" s="80">
        <f t="shared" si="23"/>
        <v>52</v>
      </c>
      <c r="AC65" s="80">
        <f t="shared" si="24"/>
        <v>52126.1</v>
      </c>
      <c r="AD65" s="81">
        <f t="shared" si="25"/>
        <v>126.1</v>
      </c>
      <c r="AE65" s="81">
        <f t="shared" si="26"/>
        <v>630.5</v>
      </c>
      <c r="AG65"/>
    </row>
    <row r="66" spans="2:33">
      <c r="B66" s="384">
        <f t="shared" si="14"/>
        <v>63</v>
      </c>
      <c r="C66" s="375" t="s">
        <v>13</v>
      </c>
      <c r="D66" s="376">
        <f t="shared" si="15"/>
        <v>0</v>
      </c>
      <c r="E66" s="381" t="s">
        <v>0</v>
      </c>
      <c r="F66" s="27">
        <v>31</v>
      </c>
      <c r="G66" s="144">
        <f t="shared" si="28"/>
        <v>20</v>
      </c>
      <c r="H66" s="39">
        <v>653</v>
      </c>
      <c r="I66" s="27">
        <v>41</v>
      </c>
      <c r="J66" s="144">
        <f t="shared" si="29"/>
        <v>10</v>
      </c>
      <c r="K66" s="88">
        <v>608</v>
      </c>
      <c r="L66" s="27"/>
      <c r="M66" s="144" t="str">
        <f t="shared" si="30"/>
        <v/>
      </c>
      <c r="N66" s="151"/>
      <c r="O66" s="27"/>
      <c r="P66" s="144" t="str">
        <f t="shared" si="19"/>
        <v/>
      </c>
      <c r="Q66" s="88"/>
      <c r="R66" s="53"/>
      <c r="S66" s="144" t="str">
        <f t="shared" si="20"/>
        <v/>
      </c>
      <c r="T66" s="73"/>
      <c r="U66" s="27"/>
      <c r="V66" s="144" t="str">
        <f t="shared" si="31"/>
        <v/>
      </c>
      <c r="W66" s="39"/>
      <c r="X66" s="27"/>
      <c r="Y66" s="144" t="str">
        <f t="shared" si="21"/>
        <v/>
      </c>
      <c r="Z66" s="39"/>
      <c r="AA66" s="82">
        <f t="shared" si="22"/>
        <v>2</v>
      </c>
      <c r="AB66" s="80">
        <f t="shared" si="23"/>
        <v>30</v>
      </c>
      <c r="AC66" s="80">
        <f t="shared" si="24"/>
        <v>30126.1</v>
      </c>
      <c r="AD66" s="81">
        <f t="shared" si="25"/>
        <v>126.1</v>
      </c>
      <c r="AE66" s="81">
        <f t="shared" si="26"/>
        <v>630.5</v>
      </c>
      <c r="AG66"/>
    </row>
    <row r="67" spans="2:33">
      <c r="B67" s="384">
        <f t="shared" si="14"/>
        <v>64</v>
      </c>
      <c r="C67" s="398" t="s">
        <v>218</v>
      </c>
      <c r="D67" s="376">
        <f t="shared" si="15"/>
        <v>0</v>
      </c>
      <c r="E67" s="383" t="s">
        <v>4</v>
      </c>
      <c r="F67" s="27">
        <v>35</v>
      </c>
      <c r="G67" s="144">
        <f t="shared" si="28"/>
        <v>16</v>
      </c>
      <c r="H67" s="39">
        <v>627</v>
      </c>
      <c r="I67" s="27"/>
      <c r="J67" s="144" t="str">
        <f t="shared" si="29"/>
        <v/>
      </c>
      <c r="K67" s="88"/>
      <c r="L67" s="27"/>
      <c r="M67" s="144" t="str">
        <f t="shared" si="30"/>
        <v/>
      </c>
      <c r="N67" s="151"/>
      <c r="O67" s="27"/>
      <c r="P67" s="144" t="str">
        <f t="shared" si="19"/>
        <v/>
      </c>
      <c r="Q67" s="88"/>
      <c r="R67" s="53"/>
      <c r="S67" s="144" t="str">
        <f t="shared" si="20"/>
        <v/>
      </c>
      <c r="T67" s="73"/>
      <c r="U67" s="27"/>
      <c r="V67" s="144" t="str">
        <f t="shared" si="31"/>
        <v/>
      </c>
      <c r="W67" s="39"/>
      <c r="X67" s="27"/>
      <c r="Y67" s="144" t="str">
        <f t="shared" si="21"/>
        <v/>
      </c>
      <c r="Z67" s="39"/>
      <c r="AA67" s="82">
        <f t="shared" si="22"/>
        <v>1</v>
      </c>
      <c r="AB67" s="80">
        <f t="shared" si="23"/>
        <v>16</v>
      </c>
      <c r="AC67" s="80">
        <f t="shared" si="24"/>
        <v>16125.4</v>
      </c>
      <c r="AD67" s="81">
        <f t="shared" si="25"/>
        <v>125.4</v>
      </c>
      <c r="AE67" s="81">
        <f t="shared" si="26"/>
        <v>627</v>
      </c>
      <c r="AG67"/>
    </row>
    <row r="68" spans="2:33">
      <c r="B68" s="384">
        <f t="shared" ref="B68:B85" si="32">SUM(B67+1)</f>
        <v>65</v>
      </c>
      <c r="C68" s="377" t="s">
        <v>221</v>
      </c>
      <c r="D68" s="376">
        <f t="shared" ref="D68:D89" si="33">IF(AA68&lt;6,0,1)</f>
        <v>0</v>
      </c>
      <c r="E68" s="378" t="s">
        <v>6</v>
      </c>
      <c r="F68" s="38"/>
      <c r="G68" s="144" t="str">
        <f t="shared" si="28"/>
        <v/>
      </c>
      <c r="H68" s="40"/>
      <c r="I68" s="27">
        <v>37</v>
      </c>
      <c r="J68" s="144">
        <f t="shared" si="29"/>
        <v>14</v>
      </c>
      <c r="K68" s="88">
        <v>625</v>
      </c>
      <c r="L68" s="38"/>
      <c r="M68" s="144" t="str">
        <f t="shared" si="30"/>
        <v/>
      </c>
      <c r="N68" s="178"/>
      <c r="O68" s="38"/>
      <c r="P68" s="144" t="str">
        <f t="shared" si="19"/>
        <v/>
      </c>
      <c r="Q68" s="89"/>
      <c r="R68" s="56"/>
      <c r="S68" s="144" t="str">
        <f t="shared" si="20"/>
        <v/>
      </c>
      <c r="T68" s="75"/>
      <c r="U68" s="27"/>
      <c r="V68" s="144" t="str">
        <f t="shared" si="31"/>
        <v/>
      </c>
      <c r="W68" s="39"/>
      <c r="X68" s="56"/>
      <c r="Y68" s="144" t="str">
        <f t="shared" ref="Y68:Y89" si="34">IF(X68="","",IF(X68&gt;50,"",51-X68))</f>
        <v/>
      </c>
      <c r="Z68" s="54"/>
      <c r="AA68" s="82">
        <f t="shared" ref="AA68:AA85" si="35">COUNT(X68,U68,R68,O68,L68,I68,F68)</f>
        <v>1</v>
      </c>
      <c r="AB68" s="80">
        <f t="shared" ref="AB68:AB85" si="36">SUM(G68,J68,M68,P68,S68,V68,Y68)</f>
        <v>14</v>
      </c>
      <c r="AC68" s="80">
        <f t="shared" ref="AC68:AC85" si="37">IF(AB68=0,"",SUM(AB68*1000)+AD68)</f>
        <v>14125</v>
      </c>
      <c r="AD68" s="74">
        <f t="shared" ref="AD68:AD85" si="38">IF(AA68=0,"",AE68/5)</f>
        <v>125</v>
      </c>
      <c r="AE68" s="74">
        <f t="shared" ref="AE68:AE85" si="39">IF(AA68=0,"",(H68+K68+N68+Q68+T68+W68+Z68)/AA68)</f>
        <v>625</v>
      </c>
      <c r="AG68"/>
    </row>
    <row r="69" spans="2:33">
      <c r="B69" s="384">
        <f t="shared" si="32"/>
        <v>66</v>
      </c>
      <c r="C69" s="389" t="s">
        <v>94</v>
      </c>
      <c r="D69" s="376">
        <f t="shared" si="33"/>
        <v>0</v>
      </c>
      <c r="E69" s="383" t="s">
        <v>4</v>
      </c>
      <c r="F69" s="27"/>
      <c r="G69" s="144" t="str">
        <f t="shared" si="28"/>
        <v/>
      </c>
      <c r="H69" s="39"/>
      <c r="I69" s="27"/>
      <c r="J69" s="144" t="str">
        <f t="shared" si="29"/>
        <v/>
      </c>
      <c r="K69" s="88"/>
      <c r="L69" s="38">
        <v>27</v>
      </c>
      <c r="M69" s="144">
        <f t="shared" si="30"/>
        <v>24</v>
      </c>
      <c r="N69" s="39">
        <v>699</v>
      </c>
      <c r="O69" s="27">
        <v>45</v>
      </c>
      <c r="P69" s="144">
        <f t="shared" si="19"/>
        <v>6</v>
      </c>
      <c r="Q69" s="88">
        <v>549</v>
      </c>
      <c r="R69" s="56"/>
      <c r="S69" s="144" t="str">
        <f t="shared" si="20"/>
        <v/>
      </c>
      <c r="T69" s="75"/>
      <c r="U69" s="38"/>
      <c r="V69" s="144" t="str">
        <f t="shared" si="31"/>
        <v/>
      </c>
      <c r="W69" s="55"/>
      <c r="X69" s="53"/>
      <c r="Y69" s="144" t="str">
        <f t="shared" si="34"/>
        <v/>
      </c>
      <c r="Z69" s="83"/>
      <c r="AA69" s="82">
        <f t="shared" si="35"/>
        <v>2</v>
      </c>
      <c r="AB69" s="80">
        <f t="shared" si="36"/>
        <v>30</v>
      </c>
      <c r="AC69" s="80">
        <f t="shared" si="37"/>
        <v>30124.799999999999</v>
      </c>
      <c r="AD69" s="74">
        <f t="shared" si="38"/>
        <v>124.8</v>
      </c>
      <c r="AE69" s="74">
        <f t="shared" si="39"/>
        <v>624</v>
      </c>
      <c r="AF69" s="26" t="s">
        <v>20</v>
      </c>
      <c r="AG69"/>
    </row>
    <row r="70" spans="2:33">
      <c r="B70" s="384">
        <f t="shared" si="32"/>
        <v>67</v>
      </c>
      <c r="C70" s="582" t="s">
        <v>285</v>
      </c>
      <c r="D70" s="376">
        <f t="shared" si="33"/>
        <v>0</v>
      </c>
      <c r="E70" s="391" t="s">
        <v>7</v>
      </c>
      <c r="F70" s="27"/>
      <c r="G70" s="144" t="str">
        <f t="shared" si="28"/>
        <v/>
      </c>
      <c r="H70" s="39"/>
      <c r="I70" s="27"/>
      <c r="J70" s="144" t="str">
        <f t="shared" si="29"/>
        <v/>
      </c>
      <c r="K70" s="88"/>
      <c r="L70" s="27"/>
      <c r="M70" s="144" t="str">
        <f t="shared" si="30"/>
        <v/>
      </c>
      <c r="N70" s="39"/>
      <c r="O70" s="27"/>
      <c r="P70" s="144" t="str">
        <f t="shared" si="19"/>
        <v/>
      </c>
      <c r="Q70" s="88"/>
      <c r="R70" s="53">
        <v>44</v>
      </c>
      <c r="S70" s="144">
        <f t="shared" si="20"/>
        <v>7</v>
      </c>
      <c r="T70" s="73">
        <v>564</v>
      </c>
      <c r="U70" s="27">
        <v>40</v>
      </c>
      <c r="V70" s="144">
        <f t="shared" si="31"/>
        <v>11</v>
      </c>
      <c r="W70" s="39">
        <v>623</v>
      </c>
      <c r="X70" s="27">
        <v>43</v>
      </c>
      <c r="Y70" s="144">
        <f t="shared" si="34"/>
        <v>8</v>
      </c>
      <c r="Z70" s="39">
        <v>619</v>
      </c>
      <c r="AA70" s="82">
        <f t="shared" si="35"/>
        <v>3</v>
      </c>
      <c r="AB70" s="80">
        <f t="shared" si="36"/>
        <v>26</v>
      </c>
      <c r="AC70" s="80">
        <f t="shared" si="37"/>
        <v>26120.400000000001</v>
      </c>
      <c r="AD70" s="74">
        <f t="shared" si="38"/>
        <v>120.4</v>
      </c>
      <c r="AE70" s="74">
        <f t="shared" si="39"/>
        <v>602</v>
      </c>
      <c r="AG70"/>
    </row>
    <row r="71" spans="2:33">
      <c r="B71" s="384">
        <f t="shared" si="32"/>
        <v>68</v>
      </c>
      <c r="C71" s="388" t="s">
        <v>77</v>
      </c>
      <c r="D71" s="376">
        <f t="shared" si="33"/>
        <v>0</v>
      </c>
      <c r="E71" s="381" t="s">
        <v>0</v>
      </c>
      <c r="F71" s="27"/>
      <c r="G71" s="144" t="str">
        <f t="shared" si="28"/>
        <v/>
      </c>
      <c r="H71" s="39"/>
      <c r="I71" s="27"/>
      <c r="J71" s="144" t="str">
        <f t="shared" si="29"/>
        <v/>
      </c>
      <c r="K71" s="88"/>
      <c r="L71" s="27"/>
      <c r="M71" s="144" t="str">
        <f t="shared" si="30"/>
        <v/>
      </c>
      <c r="N71" s="39"/>
      <c r="O71" s="27">
        <v>35</v>
      </c>
      <c r="P71" s="144">
        <f t="shared" si="19"/>
        <v>16</v>
      </c>
      <c r="Q71" s="88">
        <v>619</v>
      </c>
      <c r="R71" s="53"/>
      <c r="S71" s="144" t="str">
        <f t="shared" si="20"/>
        <v/>
      </c>
      <c r="T71" s="73"/>
      <c r="U71" s="27">
        <v>43</v>
      </c>
      <c r="V71" s="144">
        <f t="shared" si="31"/>
        <v>8</v>
      </c>
      <c r="W71" s="39">
        <v>598</v>
      </c>
      <c r="X71" s="27">
        <v>45</v>
      </c>
      <c r="Y71" s="144">
        <f t="shared" si="34"/>
        <v>6</v>
      </c>
      <c r="Z71" s="39">
        <v>586</v>
      </c>
      <c r="AA71" s="82">
        <f t="shared" si="35"/>
        <v>3</v>
      </c>
      <c r="AB71" s="80">
        <f t="shared" si="36"/>
        <v>30</v>
      </c>
      <c r="AC71" s="80">
        <f t="shared" si="37"/>
        <v>30120.2</v>
      </c>
      <c r="AD71" s="74">
        <f t="shared" si="38"/>
        <v>120.2</v>
      </c>
      <c r="AE71" s="74">
        <f t="shared" si="39"/>
        <v>601</v>
      </c>
      <c r="AG71"/>
    </row>
    <row r="72" spans="2:33">
      <c r="B72" s="384">
        <f t="shared" si="32"/>
        <v>69</v>
      </c>
      <c r="C72" s="377" t="s">
        <v>291</v>
      </c>
      <c r="D72" s="376">
        <f t="shared" si="33"/>
        <v>0</v>
      </c>
      <c r="E72" s="378" t="s">
        <v>6</v>
      </c>
      <c r="F72" s="27"/>
      <c r="G72" s="144"/>
      <c r="H72" s="39"/>
      <c r="I72" s="27"/>
      <c r="J72" s="144"/>
      <c r="K72" s="88"/>
      <c r="L72" s="27"/>
      <c r="M72" s="144"/>
      <c r="N72" s="39"/>
      <c r="O72" s="27"/>
      <c r="P72" s="144"/>
      <c r="Q72" s="88"/>
      <c r="R72" s="53">
        <v>46</v>
      </c>
      <c r="S72" s="144">
        <f t="shared" si="20"/>
        <v>5</v>
      </c>
      <c r="T72" s="73">
        <v>557</v>
      </c>
      <c r="U72" s="27">
        <v>38</v>
      </c>
      <c r="V72" s="144">
        <f t="shared" si="31"/>
        <v>13</v>
      </c>
      <c r="W72" s="39">
        <v>627</v>
      </c>
      <c r="X72" s="27"/>
      <c r="Y72" s="144" t="str">
        <f t="shared" si="34"/>
        <v/>
      </c>
      <c r="Z72" s="39"/>
      <c r="AA72" s="82">
        <f t="shared" si="35"/>
        <v>2</v>
      </c>
      <c r="AB72" s="80">
        <f t="shared" si="36"/>
        <v>18</v>
      </c>
      <c r="AC72" s="80">
        <f t="shared" si="37"/>
        <v>18118.400000000001</v>
      </c>
      <c r="AD72" s="81">
        <f t="shared" si="38"/>
        <v>118.4</v>
      </c>
      <c r="AE72" s="81">
        <f t="shared" si="39"/>
        <v>592</v>
      </c>
      <c r="AG72"/>
    </row>
    <row r="73" spans="2:33">
      <c r="B73" s="384">
        <f t="shared" si="32"/>
        <v>70</v>
      </c>
      <c r="C73" s="379" t="s">
        <v>65</v>
      </c>
      <c r="D73" s="376">
        <f t="shared" si="33"/>
        <v>0</v>
      </c>
      <c r="E73" s="380" t="s">
        <v>7</v>
      </c>
      <c r="F73" s="27">
        <v>41</v>
      </c>
      <c r="G73" s="144">
        <f>IF(F73="","",IF(F73&gt;50,"",51-F73))</f>
        <v>10</v>
      </c>
      <c r="H73" s="39">
        <v>589</v>
      </c>
      <c r="I73" s="27"/>
      <c r="J73" s="144" t="str">
        <f>IF(I73="","",IF(I73&gt;50,"",51-I73))</f>
        <v/>
      </c>
      <c r="K73" s="89"/>
      <c r="L73" s="27"/>
      <c r="M73" s="144" t="str">
        <f>IF(L73="","",IF(L73&gt;50,"",51-L73))</f>
        <v/>
      </c>
      <c r="N73" s="39"/>
      <c r="O73" s="27"/>
      <c r="P73" s="144" t="str">
        <f>IF(O73="","",IF(O73&gt;50,"",51-O73))</f>
        <v/>
      </c>
      <c r="Q73" s="88"/>
      <c r="R73" s="53"/>
      <c r="S73" s="144" t="str">
        <f t="shared" si="20"/>
        <v/>
      </c>
      <c r="T73" s="73"/>
      <c r="U73" s="27"/>
      <c r="V73" s="144" t="str">
        <f t="shared" si="31"/>
        <v/>
      </c>
      <c r="W73" s="39"/>
      <c r="X73" s="53"/>
      <c r="Y73" s="144" t="str">
        <f t="shared" si="34"/>
        <v/>
      </c>
      <c r="Z73" s="83"/>
      <c r="AA73" s="82">
        <f t="shared" si="35"/>
        <v>1</v>
      </c>
      <c r="AB73" s="80">
        <f t="shared" si="36"/>
        <v>10</v>
      </c>
      <c r="AC73" s="80">
        <f t="shared" si="37"/>
        <v>10117.799999999999</v>
      </c>
      <c r="AD73" s="74">
        <f t="shared" si="38"/>
        <v>117.8</v>
      </c>
      <c r="AE73" s="74">
        <f t="shared" si="39"/>
        <v>589</v>
      </c>
      <c r="AG73"/>
    </row>
    <row r="74" spans="2:33">
      <c r="B74" s="384">
        <f t="shared" si="32"/>
        <v>71</v>
      </c>
      <c r="C74" s="382" t="s">
        <v>79</v>
      </c>
      <c r="D74" s="376">
        <f t="shared" si="33"/>
        <v>0</v>
      </c>
      <c r="E74" s="383" t="s">
        <v>4</v>
      </c>
      <c r="F74" s="27"/>
      <c r="G74" s="144" t="str">
        <f>IF(F74="","",IF(F74&gt;50,"",51-F74))</f>
        <v/>
      </c>
      <c r="H74" s="39"/>
      <c r="I74" s="27"/>
      <c r="J74" s="144" t="str">
        <f>IF(I74="","",IF(I74&gt;50,"",51-I74))</f>
        <v/>
      </c>
      <c r="K74" s="88"/>
      <c r="L74" s="27">
        <v>43</v>
      </c>
      <c r="M74" s="144">
        <f>IF(L74="","",IF(L74&gt;50,"",51-L74))</f>
        <v>8</v>
      </c>
      <c r="N74" s="39">
        <v>581</v>
      </c>
      <c r="O74" s="27"/>
      <c r="P74" s="144" t="str">
        <f>IF(O74="","",IF(O74&gt;50,"",51-O74))</f>
        <v/>
      </c>
      <c r="Q74" s="88"/>
      <c r="R74" s="53">
        <v>43</v>
      </c>
      <c r="S74" s="144">
        <f t="shared" si="20"/>
        <v>8</v>
      </c>
      <c r="T74" s="73">
        <v>585</v>
      </c>
      <c r="U74" s="27"/>
      <c r="V74" s="144" t="str">
        <f t="shared" si="31"/>
        <v/>
      </c>
      <c r="W74" s="39"/>
      <c r="X74" s="27"/>
      <c r="Y74" s="144" t="str">
        <f t="shared" si="34"/>
        <v/>
      </c>
      <c r="Z74" s="39"/>
      <c r="AA74" s="82">
        <f t="shared" si="35"/>
        <v>2</v>
      </c>
      <c r="AB74" s="80">
        <f t="shared" si="36"/>
        <v>16</v>
      </c>
      <c r="AC74" s="80">
        <f t="shared" si="37"/>
        <v>16116.6</v>
      </c>
      <c r="AD74" s="74">
        <f t="shared" si="38"/>
        <v>116.6</v>
      </c>
      <c r="AE74" s="74">
        <f t="shared" si="39"/>
        <v>583</v>
      </c>
      <c r="AG74"/>
    </row>
    <row r="75" spans="2:33">
      <c r="B75" s="384">
        <f t="shared" si="32"/>
        <v>72</v>
      </c>
      <c r="C75" s="382" t="s">
        <v>254</v>
      </c>
      <c r="D75" s="376">
        <f t="shared" si="33"/>
        <v>0</v>
      </c>
      <c r="E75" s="383" t="s">
        <v>4</v>
      </c>
      <c r="F75" s="27"/>
      <c r="G75" s="144"/>
      <c r="H75" s="39"/>
      <c r="I75" s="27"/>
      <c r="J75" s="144"/>
      <c r="K75" s="39"/>
      <c r="L75" s="27"/>
      <c r="M75" s="144"/>
      <c r="N75" s="39"/>
      <c r="O75" s="27">
        <v>40</v>
      </c>
      <c r="P75" s="144">
        <f>IF(O75="","",IF(O75&gt;50,"",51-O75))</f>
        <v>11</v>
      </c>
      <c r="Q75" s="88">
        <v>577</v>
      </c>
      <c r="R75" s="53"/>
      <c r="S75" s="144"/>
      <c r="T75" s="73"/>
      <c r="U75" s="27">
        <v>49</v>
      </c>
      <c r="V75" s="144">
        <f t="shared" si="31"/>
        <v>2</v>
      </c>
      <c r="W75" s="39">
        <v>538</v>
      </c>
      <c r="X75" s="38">
        <v>39</v>
      </c>
      <c r="Y75" s="144">
        <f t="shared" si="34"/>
        <v>12</v>
      </c>
      <c r="Z75" s="40">
        <v>632</v>
      </c>
      <c r="AA75" s="82">
        <f t="shared" si="35"/>
        <v>3</v>
      </c>
      <c r="AB75" s="80">
        <f t="shared" si="36"/>
        <v>25</v>
      </c>
      <c r="AC75" s="80">
        <f t="shared" si="37"/>
        <v>25116.466666666667</v>
      </c>
      <c r="AD75" s="74">
        <f t="shared" si="38"/>
        <v>116.46666666666667</v>
      </c>
      <c r="AE75" s="74">
        <f t="shared" si="39"/>
        <v>582.33333333333337</v>
      </c>
      <c r="AG75"/>
    </row>
    <row r="76" spans="2:33">
      <c r="B76" s="384">
        <f t="shared" si="32"/>
        <v>73</v>
      </c>
      <c r="C76" s="382" t="s">
        <v>296</v>
      </c>
      <c r="D76" s="376">
        <f t="shared" si="33"/>
        <v>0</v>
      </c>
      <c r="E76" s="383" t="s">
        <v>4</v>
      </c>
      <c r="F76" s="27"/>
      <c r="G76" s="144" t="str">
        <f>IF(F76="","",IF(F76&gt;50,"",51-F76))</f>
        <v/>
      </c>
      <c r="H76" s="39"/>
      <c r="I76" s="27"/>
      <c r="J76" s="144" t="str">
        <f>IF(I76="","",IF(I76&gt;50,"",51-I76))</f>
        <v/>
      </c>
      <c r="K76" s="88"/>
      <c r="L76" s="27"/>
      <c r="M76" s="144" t="str">
        <f>IF(L76="","",IF(L76&gt;50,"",51-L76))</f>
        <v/>
      </c>
      <c r="N76" s="39"/>
      <c r="O76" s="38"/>
      <c r="P76" s="144" t="str">
        <f>IF(O76="","",IF(O76&gt;50,"",51-O76))</f>
        <v/>
      </c>
      <c r="Q76" s="89"/>
      <c r="R76" s="53"/>
      <c r="S76" s="144" t="str">
        <f t="shared" ref="S76:S82" si="40">IF(R76="","",IF(R76&gt;50,"",51-R76))</f>
        <v/>
      </c>
      <c r="T76" s="73"/>
      <c r="U76" s="27"/>
      <c r="V76" s="144" t="str">
        <f t="shared" si="31"/>
        <v/>
      </c>
      <c r="W76" s="39"/>
      <c r="X76" s="38">
        <v>46</v>
      </c>
      <c r="Y76" s="144">
        <f t="shared" si="34"/>
        <v>5</v>
      </c>
      <c r="Z76" s="40">
        <v>578</v>
      </c>
      <c r="AA76" s="82">
        <f t="shared" si="35"/>
        <v>1</v>
      </c>
      <c r="AB76" s="80">
        <f t="shared" si="36"/>
        <v>5</v>
      </c>
      <c r="AC76" s="80">
        <f t="shared" si="37"/>
        <v>5115.6000000000004</v>
      </c>
      <c r="AD76" s="74">
        <f t="shared" si="38"/>
        <v>115.6</v>
      </c>
      <c r="AE76" s="74">
        <f t="shared" si="39"/>
        <v>578</v>
      </c>
      <c r="AG76"/>
    </row>
    <row r="77" spans="2:33">
      <c r="B77" s="384">
        <f t="shared" si="32"/>
        <v>74</v>
      </c>
      <c r="C77" s="382" t="s">
        <v>287</v>
      </c>
      <c r="D77" s="376">
        <f t="shared" si="33"/>
        <v>0</v>
      </c>
      <c r="E77" s="383" t="s">
        <v>4</v>
      </c>
      <c r="F77" s="27"/>
      <c r="G77" s="144"/>
      <c r="H77" s="39"/>
      <c r="I77" s="27"/>
      <c r="J77" s="144"/>
      <c r="K77" s="39"/>
      <c r="L77" s="27"/>
      <c r="M77" s="144"/>
      <c r="N77" s="39"/>
      <c r="O77" s="38"/>
      <c r="P77" s="144"/>
      <c r="Q77" s="89"/>
      <c r="R77" s="56">
        <v>47</v>
      </c>
      <c r="S77" s="144">
        <f t="shared" si="40"/>
        <v>4</v>
      </c>
      <c r="T77" s="75">
        <v>550</v>
      </c>
      <c r="U77" s="38"/>
      <c r="V77" s="144"/>
      <c r="W77" s="55"/>
      <c r="X77" s="38"/>
      <c r="Y77" s="144" t="str">
        <f t="shared" si="34"/>
        <v/>
      </c>
      <c r="Z77" s="40"/>
      <c r="AA77" s="82">
        <f t="shared" si="35"/>
        <v>1</v>
      </c>
      <c r="AB77" s="80">
        <f t="shared" si="36"/>
        <v>4</v>
      </c>
      <c r="AC77" s="80">
        <f t="shared" si="37"/>
        <v>4110</v>
      </c>
      <c r="AD77" s="74">
        <f t="shared" si="38"/>
        <v>110</v>
      </c>
      <c r="AE77" s="74">
        <f t="shared" si="39"/>
        <v>550</v>
      </c>
      <c r="AG77"/>
    </row>
    <row r="78" spans="2:33">
      <c r="B78" s="384">
        <f t="shared" si="32"/>
        <v>75</v>
      </c>
      <c r="C78" s="382" t="s">
        <v>243</v>
      </c>
      <c r="D78" s="376">
        <f t="shared" si="33"/>
        <v>0</v>
      </c>
      <c r="E78" s="383" t="s">
        <v>4</v>
      </c>
      <c r="F78" s="27"/>
      <c r="G78" s="144" t="str">
        <f>IF(F78="","",IF(F78&gt;50,"",51-F78))</f>
        <v/>
      </c>
      <c r="H78" s="39"/>
      <c r="I78" s="27"/>
      <c r="J78" s="144" t="str">
        <f>IF(I78="","",IF(I78&gt;50,"",51-I78))</f>
        <v/>
      </c>
      <c r="K78" s="39"/>
      <c r="L78" s="27">
        <v>49</v>
      </c>
      <c r="M78" s="144">
        <f>IF(L78="","",IF(L78&gt;50,"",51-L78))</f>
        <v>2</v>
      </c>
      <c r="N78" s="39">
        <v>508</v>
      </c>
      <c r="O78" s="38">
        <v>44</v>
      </c>
      <c r="P78" s="144">
        <f>IF(O78="","",IF(O78&gt;50,"",51-O78))</f>
        <v>7</v>
      </c>
      <c r="Q78" s="89">
        <v>556</v>
      </c>
      <c r="R78" s="56"/>
      <c r="S78" s="144" t="str">
        <f t="shared" si="40"/>
        <v/>
      </c>
      <c r="T78" s="75"/>
      <c r="U78" s="38"/>
      <c r="V78" s="144" t="str">
        <f>IF(U78="","",IF(U78&gt;50,"",51-U78))</f>
        <v/>
      </c>
      <c r="W78" s="55"/>
      <c r="X78" s="56"/>
      <c r="Y78" s="144" t="str">
        <f t="shared" si="34"/>
        <v/>
      </c>
      <c r="Z78" s="55"/>
      <c r="AA78" s="82">
        <f t="shared" si="35"/>
        <v>2</v>
      </c>
      <c r="AB78" s="80">
        <f t="shared" si="36"/>
        <v>9</v>
      </c>
      <c r="AC78" s="80">
        <f t="shared" si="37"/>
        <v>9106.4</v>
      </c>
      <c r="AD78" s="74">
        <f t="shared" si="38"/>
        <v>106.4</v>
      </c>
      <c r="AE78" s="74">
        <f t="shared" si="39"/>
        <v>532</v>
      </c>
      <c r="AG78"/>
    </row>
    <row r="79" spans="2:33">
      <c r="B79" s="384">
        <f t="shared" si="32"/>
        <v>76</v>
      </c>
      <c r="C79" s="388" t="s">
        <v>283</v>
      </c>
      <c r="D79" s="376">
        <f t="shared" si="33"/>
        <v>0</v>
      </c>
      <c r="E79" s="381" t="s">
        <v>0</v>
      </c>
      <c r="F79" s="27"/>
      <c r="G79" s="144" t="str">
        <f>IF(F79="","",IF(F79&gt;50,"",51-F79))</f>
        <v/>
      </c>
      <c r="H79" s="39"/>
      <c r="I79" s="38"/>
      <c r="J79" s="144" t="str">
        <f>IF(I79="","",IF(I79&gt;50,"",51-I79))</f>
        <v/>
      </c>
      <c r="K79" s="89"/>
      <c r="L79" s="27"/>
      <c r="M79" s="144" t="str">
        <f>IF(L79="","",IF(L79&gt;50,"",51-L79))</f>
        <v/>
      </c>
      <c r="N79" s="39"/>
      <c r="O79" s="38"/>
      <c r="P79" s="144" t="str">
        <f>IF(O79="","",IF(O79&gt;50,"",51-O79))</f>
        <v/>
      </c>
      <c r="Q79" s="89"/>
      <c r="R79" s="56">
        <v>49</v>
      </c>
      <c r="S79" s="144">
        <f t="shared" si="40"/>
        <v>2</v>
      </c>
      <c r="T79" s="75">
        <v>524</v>
      </c>
      <c r="U79" s="38"/>
      <c r="V79" s="144" t="str">
        <f>IF(U79="","",IF(U79&gt;50,"",51-U79))</f>
        <v/>
      </c>
      <c r="W79" s="40"/>
      <c r="X79" s="27"/>
      <c r="Y79" s="144" t="str">
        <f t="shared" si="34"/>
        <v/>
      </c>
      <c r="Z79" s="39"/>
      <c r="AA79" s="82">
        <f t="shared" si="35"/>
        <v>1</v>
      </c>
      <c r="AB79" s="80">
        <f t="shared" si="36"/>
        <v>2</v>
      </c>
      <c r="AC79" s="80">
        <f t="shared" si="37"/>
        <v>2104.8000000000002</v>
      </c>
      <c r="AD79" s="74">
        <f t="shared" si="38"/>
        <v>104.8</v>
      </c>
      <c r="AE79" s="74">
        <f t="shared" si="39"/>
        <v>524</v>
      </c>
      <c r="AG79"/>
    </row>
    <row r="80" spans="2:33">
      <c r="B80" s="384">
        <f t="shared" si="32"/>
        <v>77</v>
      </c>
      <c r="C80" s="382" t="s">
        <v>286</v>
      </c>
      <c r="D80" s="376">
        <f t="shared" si="33"/>
        <v>0</v>
      </c>
      <c r="E80" s="383" t="s">
        <v>4</v>
      </c>
      <c r="F80" s="27"/>
      <c r="G80" s="144"/>
      <c r="H80" s="39"/>
      <c r="I80" s="27"/>
      <c r="J80" s="144"/>
      <c r="K80" s="39"/>
      <c r="L80" s="27"/>
      <c r="M80" s="144"/>
      <c r="N80" s="39"/>
      <c r="O80" s="38"/>
      <c r="P80" s="144"/>
      <c r="Q80" s="89"/>
      <c r="R80" s="835">
        <v>50</v>
      </c>
      <c r="S80" s="583">
        <f t="shared" si="40"/>
        <v>1</v>
      </c>
      <c r="T80" s="838">
        <v>518</v>
      </c>
      <c r="U80" s="38"/>
      <c r="V80" s="144"/>
      <c r="W80" s="55"/>
      <c r="X80" s="27"/>
      <c r="Y80" s="144" t="str">
        <f t="shared" si="34"/>
        <v/>
      </c>
      <c r="Z80" s="39"/>
      <c r="AA80" s="82">
        <f t="shared" si="35"/>
        <v>1</v>
      </c>
      <c r="AB80" s="80">
        <f t="shared" si="36"/>
        <v>1</v>
      </c>
      <c r="AC80" s="80">
        <f t="shared" si="37"/>
        <v>1103.5999999999999</v>
      </c>
      <c r="AD80" s="81">
        <f t="shared" si="38"/>
        <v>103.6</v>
      </c>
      <c r="AE80" s="81">
        <f t="shared" si="39"/>
        <v>518</v>
      </c>
      <c r="AG80"/>
    </row>
    <row r="81" spans="2:33">
      <c r="B81" s="384">
        <f t="shared" si="32"/>
        <v>78</v>
      </c>
      <c r="C81" s="373" t="s">
        <v>101</v>
      </c>
      <c r="D81" s="376">
        <f t="shared" si="33"/>
        <v>0</v>
      </c>
      <c r="E81" s="385" t="s">
        <v>17</v>
      </c>
      <c r="F81" s="27">
        <v>49</v>
      </c>
      <c r="G81" s="144">
        <f>IF(F81="","",IF(F81&gt;50,"",51-F81))</f>
        <v>2</v>
      </c>
      <c r="H81" s="39">
        <v>496</v>
      </c>
      <c r="I81" s="150">
        <v>50</v>
      </c>
      <c r="J81" s="144">
        <f>IF(I81="","",IF(I81&gt;50,"",51-I81))</f>
        <v>1</v>
      </c>
      <c r="K81" s="209">
        <v>498</v>
      </c>
      <c r="L81" s="27"/>
      <c r="M81" s="144" t="str">
        <f>IF(L81="","",IF(L81&gt;50,"",51-L81))</f>
        <v/>
      </c>
      <c r="N81" s="39"/>
      <c r="O81" s="38">
        <v>47</v>
      </c>
      <c r="P81" s="144">
        <f t="shared" ref="P81:P89" si="41">IF(O81="","",IF(O81&gt;50,"",51-O81))</f>
        <v>4</v>
      </c>
      <c r="Q81" s="89">
        <v>533</v>
      </c>
      <c r="R81" s="56"/>
      <c r="S81" s="144" t="str">
        <f t="shared" si="40"/>
        <v/>
      </c>
      <c r="T81" s="75"/>
      <c r="U81" s="38"/>
      <c r="V81" s="144" t="str">
        <f>IF(U81="","",IF(U81&gt;50,"",51-U81))</f>
        <v/>
      </c>
      <c r="W81" s="40"/>
      <c r="X81" s="27"/>
      <c r="Y81" s="144" t="str">
        <f t="shared" si="34"/>
        <v/>
      </c>
      <c r="Z81" s="39"/>
      <c r="AA81" s="82">
        <f t="shared" si="35"/>
        <v>3</v>
      </c>
      <c r="AB81" s="80">
        <f t="shared" si="36"/>
        <v>7</v>
      </c>
      <c r="AC81" s="80">
        <f t="shared" si="37"/>
        <v>7101.8</v>
      </c>
      <c r="AD81" s="74">
        <f t="shared" si="38"/>
        <v>101.8</v>
      </c>
      <c r="AE81" s="74">
        <f t="shared" si="39"/>
        <v>509</v>
      </c>
      <c r="AG81"/>
    </row>
    <row r="82" spans="2:33">
      <c r="B82" s="384">
        <f t="shared" si="32"/>
        <v>79</v>
      </c>
      <c r="C82" s="885" t="s">
        <v>91</v>
      </c>
      <c r="D82" s="376">
        <f t="shared" si="33"/>
        <v>0</v>
      </c>
      <c r="E82" s="385" t="s">
        <v>17</v>
      </c>
      <c r="F82" s="38"/>
      <c r="G82" s="144" t="str">
        <f>IF(F82="","",IF(F82&gt;50,"",51-F82))</f>
        <v/>
      </c>
      <c r="H82" s="40"/>
      <c r="I82" s="27">
        <v>49</v>
      </c>
      <c r="J82" s="144">
        <f>IF(I82="","",IF(I82&gt;50,"",51-I82))</f>
        <v>2</v>
      </c>
      <c r="K82" s="39">
        <v>504</v>
      </c>
      <c r="L82" s="38"/>
      <c r="M82" s="144" t="str">
        <f>IF(L82="","",IF(L82&gt;50,"",51-L82))</f>
        <v/>
      </c>
      <c r="N82" s="40"/>
      <c r="O82" s="38">
        <v>48</v>
      </c>
      <c r="P82" s="144">
        <f t="shared" si="41"/>
        <v>3</v>
      </c>
      <c r="Q82" s="89">
        <v>511</v>
      </c>
      <c r="R82" s="56"/>
      <c r="S82" s="144" t="str">
        <f t="shared" si="40"/>
        <v/>
      </c>
      <c r="T82" s="75"/>
      <c r="U82" s="38"/>
      <c r="V82" s="144" t="str">
        <f>IF(U82="","",IF(U82&gt;50,"",51-U82))</f>
        <v/>
      </c>
      <c r="W82" s="40"/>
      <c r="X82" s="27"/>
      <c r="Y82" s="144" t="str">
        <f t="shared" si="34"/>
        <v/>
      </c>
      <c r="Z82" s="39"/>
      <c r="AA82" s="82">
        <f t="shared" si="35"/>
        <v>2</v>
      </c>
      <c r="AB82" s="80">
        <f t="shared" si="36"/>
        <v>5</v>
      </c>
      <c r="AC82" s="80">
        <f t="shared" si="37"/>
        <v>5101.5</v>
      </c>
      <c r="AD82" s="81">
        <f t="shared" si="38"/>
        <v>101.5</v>
      </c>
      <c r="AE82" s="81">
        <f t="shared" si="39"/>
        <v>507.5</v>
      </c>
      <c r="AG82"/>
    </row>
    <row r="83" spans="2:33">
      <c r="B83" s="384">
        <f t="shared" si="32"/>
        <v>80</v>
      </c>
      <c r="C83" s="896" t="s">
        <v>253</v>
      </c>
      <c r="D83" s="376">
        <f t="shared" si="33"/>
        <v>0</v>
      </c>
      <c r="E83" s="383" t="s">
        <v>4</v>
      </c>
      <c r="F83" s="38"/>
      <c r="G83" s="144"/>
      <c r="H83" s="40"/>
      <c r="I83" s="27"/>
      <c r="J83" s="144"/>
      <c r="K83" s="40"/>
      <c r="L83" s="38"/>
      <c r="M83" s="144"/>
      <c r="N83" s="40"/>
      <c r="O83" s="833">
        <v>50</v>
      </c>
      <c r="P83" s="144">
        <f t="shared" si="41"/>
        <v>1</v>
      </c>
      <c r="Q83" s="837">
        <v>487</v>
      </c>
      <c r="R83" s="56"/>
      <c r="S83" s="144"/>
      <c r="T83" s="75"/>
      <c r="U83" s="38"/>
      <c r="V83" s="144"/>
      <c r="W83" s="40"/>
      <c r="X83" s="27"/>
      <c r="Y83" s="144" t="str">
        <f t="shared" si="34"/>
        <v/>
      </c>
      <c r="Z83" s="39"/>
      <c r="AA83" s="82">
        <f t="shared" si="35"/>
        <v>1</v>
      </c>
      <c r="AB83" s="80">
        <f t="shared" si="36"/>
        <v>1</v>
      </c>
      <c r="AC83" s="80">
        <f t="shared" si="37"/>
        <v>1097.4000000000001</v>
      </c>
      <c r="AD83" s="74">
        <f t="shared" si="38"/>
        <v>97.4</v>
      </c>
      <c r="AE83" s="74">
        <f t="shared" si="39"/>
        <v>487</v>
      </c>
      <c r="AG83"/>
    </row>
    <row r="84" spans="2:33">
      <c r="B84" s="384">
        <f t="shared" si="32"/>
        <v>81</v>
      </c>
      <c r="C84" s="401" t="s">
        <v>69</v>
      </c>
      <c r="D84" s="376">
        <f t="shared" si="33"/>
        <v>0</v>
      </c>
      <c r="E84" s="385" t="s">
        <v>17</v>
      </c>
      <c r="F84" s="38"/>
      <c r="G84" s="144"/>
      <c r="H84" s="40"/>
      <c r="I84" s="38"/>
      <c r="J84" s="144"/>
      <c r="K84" s="39"/>
      <c r="L84" s="833">
        <v>50</v>
      </c>
      <c r="M84" s="144">
        <f t="shared" ref="M84:M89" si="42">IF(L84="","",IF(L84&gt;50,"",51-L84))</f>
        <v>1</v>
      </c>
      <c r="N84" s="834">
        <v>480</v>
      </c>
      <c r="O84" s="38">
        <v>49</v>
      </c>
      <c r="P84" s="144">
        <f t="shared" si="41"/>
        <v>2</v>
      </c>
      <c r="Q84" s="89">
        <v>490</v>
      </c>
      <c r="R84" s="56"/>
      <c r="S84" s="144"/>
      <c r="T84" s="75"/>
      <c r="U84" s="38"/>
      <c r="V84" s="144"/>
      <c r="W84" s="40"/>
      <c r="X84" s="27"/>
      <c r="Y84" s="144" t="str">
        <f t="shared" si="34"/>
        <v/>
      </c>
      <c r="Z84" s="39"/>
      <c r="AA84" s="82">
        <f t="shared" si="35"/>
        <v>2</v>
      </c>
      <c r="AB84" s="80">
        <f t="shared" si="36"/>
        <v>3</v>
      </c>
      <c r="AC84" s="80">
        <f t="shared" si="37"/>
        <v>3097</v>
      </c>
      <c r="AD84" s="74">
        <f t="shared" si="38"/>
        <v>97</v>
      </c>
      <c r="AE84" s="74">
        <f t="shared" si="39"/>
        <v>485</v>
      </c>
      <c r="AG84"/>
    </row>
    <row r="85" spans="2:33">
      <c r="B85" s="384">
        <f t="shared" si="32"/>
        <v>82</v>
      </c>
      <c r="C85" s="913" t="s">
        <v>292</v>
      </c>
      <c r="D85" s="376">
        <f t="shared" si="33"/>
        <v>0</v>
      </c>
      <c r="E85" s="380" t="s">
        <v>7</v>
      </c>
      <c r="F85" s="38"/>
      <c r="G85" s="144" t="str">
        <f>IF(F85="","",IF(F85&gt;50,"",51-F85))</f>
        <v/>
      </c>
      <c r="H85" s="40"/>
      <c r="I85" s="38"/>
      <c r="J85" s="144" t="str">
        <f>IF(I85="","",IF(I85&gt;50,"",51-I85))</f>
        <v/>
      </c>
      <c r="K85" s="39"/>
      <c r="L85" s="38"/>
      <c r="M85" s="144" t="str">
        <f t="shared" si="42"/>
        <v/>
      </c>
      <c r="N85" s="40"/>
      <c r="O85" s="38"/>
      <c r="P85" s="144" t="str">
        <f t="shared" si="41"/>
        <v/>
      </c>
      <c r="Q85" s="89"/>
      <c r="R85" s="56"/>
      <c r="S85" s="144" t="str">
        <f>IF(R85="","",IF(R85&gt;50,"",51-R85))</f>
        <v/>
      </c>
      <c r="T85" s="75"/>
      <c r="U85" s="835">
        <v>50</v>
      </c>
      <c r="V85" s="583">
        <f>IF(U85="","",IF(U85&gt;50,"",51-U85))</f>
        <v>1</v>
      </c>
      <c r="W85" s="914">
        <v>333</v>
      </c>
      <c r="X85" s="833">
        <v>50</v>
      </c>
      <c r="Y85" s="144">
        <f t="shared" si="34"/>
        <v>1</v>
      </c>
      <c r="Z85" s="834">
        <v>400</v>
      </c>
      <c r="AA85" s="82">
        <f t="shared" si="35"/>
        <v>2</v>
      </c>
      <c r="AB85" s="80">
        <f t="shared" si="36"/>
        <v>2</v>
      </c>
      <c r="AC85" s="80">
        <f t="shared" si="37"/>
        <v>2073.3000000000002</v>
      </c>
      <c r="AD85" s="74">
        <f t="shared" si="38"/>
        <v>73.3</v>
      </c>
      <c r="AE85" s="74">
        <f t="shared" si="39"/>
        <v>366.5</v>
      </c>
      <c r="AG85"/>
    </row>
    <row r="86" spans="2:33">
      <c r="B86" s="384"/>
      <c r="C86" s="401"/>
      <c r="D86" s="376">
        <f t="shared" si="33"/>
        <v>0</v>
      </c>
      <c r="E86" s="394"/>
      <c r="F86" s="38"/>
      <c r="G86" s="144" t="str">
        <f>IF(F86="","",IF(F86&gt;50,"",51-F86))</f>
        <v/>
      </c>
      <c r="H86" s="40"/>
      <c r="I86" s="38"/>
      <c r="J86" s="144" t="str">
        <f>IF(I86="","",IF(I86&gt;50,"",51-I86))</f>
        <v/>
      </c>
      <c r="K86" s="40"/>
      <c r="L86" s="38"/>
      <c r="M86" s="144" t="str">
        <f t="shared" si="42"/>
        <v/>
      </c>
      <c r="N86" s="40"/>
      <c r="O86" s="38"/>
      <c r="P86" s="144" t="str">
        <f t="shared" si="41"/>
        <v/>
      </c>
      <c r="Q86" s="89"/>
      <c r="R86" s="56"/>
      <c r="S86" s="144" t="str">
        <f>IF(R86="","",IF(R86&gt;50,"",51-R86))</f>
        <v/>
      </c>
      <c r="T86" s="75"/>
      <c r="U86" s="38"/>
      <c r="V86" s="144" t="str">
        <f>IF(U86="","",IF(U86&gt;50,"",51-U86))</f>
        <v/>
      </c>
      <c r="W86" s="55"/>
      <c r="X86" s="56"/>
      <c r="Y86" s="144" t="str">
        <f t="shared" si="34"/>
        <v/>
      </c>
      <c r="Z86" s="55"/>
      <c r="AA86" s="82"/>
      <c r="AB86" s="80"/>
      <c r="AC86" s="82"/>
      <c r="AD86" s="74"/>
      <c r="AE86" s="74"/>
    </row>
    <row r="87" spans="2:33">
      <c r="B87" s="384"/>
      <c r="C87" s="401"/>
      <c r="D87" s="376">
        <f t="shared" si="33"/>
        <v>0</v>
      </c>
      <c r="E87" s="394"/>
      <c r="F87" s="38"/>
      <c r="G87" s="144" t="str">
        <f>IF(F87="","",IF(F87&gt;50,"",51-F87))</f>
        <v/>
      </c>
      <c r="H87" s="40"/>
      <c r="I87" s="38"/>
      <c r="J87" s="144" t="str">
        <f>IF(I87="","",IF(I87&gt;50,"",51-I87))</f>
        <v/>
      </c>
      <c r="K87" s="40"/>
      <c r="L87" s="38"/>
      <c r="M87" s="144" t="str">
        <f t="shared" si="42"/>
        <v/>
      </c>
      <c r="N87" s="40"/>
      <c r="O87" s="38"/>
      <c r="P87" s="144" t="str">
        <f t="shared" si="41"/>
        <v/>
      </c>
      <c r="Q87" s="89"/>
      <c r="R87" s="56"/>
      <c r="S87" s="144" t="str">
        <f>IF(R87="","",IF(R87&gt;50,"",51-R87))</f>
        <v/>
      </c>
      <c r="T87" s="75"/>
      <c r="U87" s="38"/>
      <c r="V87" s="144" t="str">
        <f>IF(U87="","",IF(U87&gt;50,"",51-U87))</f>
        <v/>
      </c>
      <c r="W87" s="55"/>
      <c r="X87" s="56"/>
      <c r="Y87" s="144" t="str">
        <f t="shared" si="34"/>
        <v/>
      </c>
      <c r="Z87" s="55"/>
      <c r="AA87" s="82"/>
      <c r="AB87" s="80"/>
      <c r="AC87" s="82"/>
      <c r="AD87" s="74"/>
      <c r="AE87" s="74"/>
    </row>
    <row r="88" spans="2:33">
      <c r="B88" s="384"/>
      <c r="C88" s="400"/>
      <c r="D88" s="376">
        <f t="shared" si="33"/>
        <v>0</v>
      </c>
      <c r="E88" s="391"/>
      <c r="F88" s="38"/>
      <c r="G88" s="144" t="str">
        <f>IF(F88="","",IF(F88&gt;50,"",51-F88))</f>
        <v/>
      </c>
      <c r="H88" s="40"/>
      <c r="I88" s="38"/>
      <c r="J88" s="144" t="str">
        <f>IF(I88="","",IF(I88&gt;50,"",51-I88))</f>
        <v/>
      </c>
      <c r="K88" s="40"/>
      <c r="L88" s="38"/>
      <c r="M88" s="144" t="str">
        <f t="shared" si="42"/>
        <v/>
      </c>
      <c r="N88" s="40"/>
      <c r="O88" s="38"/>
      <c r="P88" s="144" t="str">
        <f t="shared" si="41"/>
        <v/>
      </c>
      <c r="Q88" s="89"/>
      <c r="R88" s="56"/>
      <c r="S88" s="144" t="str">
        <f>IF(R88="","",IF(R88&gt;50,"",51-R88))</f>
        <v/>
      </c>
      <c r="T88" s="75"/>
      <c r="U88" s="38"/>
      <c r="V88" s="144" t="str">
        <f>IF(U88="","",IF(U88&gt;50,"",51-U88))</f>
        <v/>
      </c>
      <c r="W88" s="55"/>
      <c r="X88" s="56"/>
      <c r="Y88" s="144" t="str">
        <f t="shared" si="34"/>
        <v/>
      </c>
      <c r="Z88" s="55"/>
      <c r="AA88" s="82"/>
      <c r="AB88" s="80"/>
      <c r="AC88" s="82"/>
      <c r="AD88" s="74"/>
      <c r="AE88" s="74"/>
    </row>
    <row r="89" spans="2:33" ht="13.5" thickBot="1">
      <c r="B89" s="402"/>
      <c r="C89" s="403"/>
      <c r="D89" s="404">
        <f t="shared" si="33"/>
        <v>0</v>
      </c>
      <c r="E89" s="405"/>
      <c r="F89" s="47"/>
      <c r="G89" s="146" t="str">
        <f>IF(F89="","",IF(F89&gt;50,"",51-F89))</f>
        <v/>
      </c>
      <c r="H89" s="69"/>
      <c r="I89" s="47"/>
      <c r="J89" s="146" t="str">
        <f>IF(I89="","",IF(I89&gt;50,"",51-I89))</f>
        <v/>
      </c>
      <c r="K89" s="69"/>
      <c r="L89" s="47"/>
      <c r="M89" s="146" t="str">
        <f t="shared" si="42"/>
        <v/>
      </c>
      <c r="N89" s="69"/>
      <c r="O89" s="47"/>
      <c r="P89" s="146" t="str">
        <f t="shared" si="41"/>
        <v/>
      </c>
      <c r="Q89" s="179"/>
      <c r="R89" s="57"/>
      <c r="S89" s="146" t="str">
        <f>IF(R89="","",IF(R89&gt;50,"",51-R89))</f>
        <v/>
      </c>
      <c r="T89" s="142"/>
      <c r="U89" s="47"/>
      <c r="V89" s="146" t="str">
        <f>IF(U89="","",IF(U89&gt;50,"",51-U89))</f>
        <v/>
      </c>
      <c r="W89" s="59"/>
      <c r="X89" s="57"/>
      <c r="Y89" s="146" t="str">
        <f t="shared" si="34"/>
        <v/>
      </c>
      <c r="Z89" s="59"/>
      <c r="AA89" s="84"/>
      <c r="AB89" s="84"/>
      <c r="AC89" s="84"/>
      <c r="AD89" s="85"/>
      <c r="AE89" s="85"/>
    </row>
    <row r="90" spans="2:33">
      <c r="F90" s="49"/>
      <c r="G90" s="49"/>
      <c r="H90" s="8"/>
      <c r="I90" s="49"/>
      <c r="J90" s="49"/>
      <c r="K90" s="50"/>
      <c r="L90" s="49"/>
      <c r="M90" s="49"/>
      <c r="N90" s="50"/>
      <c r="O90" s="49"/>
      <c r="P90" s="49"/>
      <c r="Q90" s="50"/>
      <c r="R90" s="49"/>
      <c r="S90" s="49"/>
      <c r="T90" s="50"/>
      <c r="U90" s="49"/>
      <c r="V90" s="49"/>
      <c r="W90" s="50"/>
      <c r="X90" s="49"/>
      <c r="Y90" s="49"/>
      <c r="AA90" s="1"/>
      <c r="AB90" s="1"/>
      <c r="AC90" s="1"/>
      <c r="AD90" s="1"/>
    </row>
    <row r="91" spans="2:33">
      <c r="F91" s="49"/>
      <c r="G91" s="49"/>
      <c r="H91" s="8"/>
      <c r="I91" s="49"/>
      <c r="J91" s="49"/>
      <c r="K91" s="50"/>
      <c r="L91" s="49"/>
      <c r="M91" s="49"/>
      <c r="N91" s="50"/>
      <c r="O91" s="49"/>
      <c r="P91" s="49"/>
      <c r="Q91" s="50"/>
      <c r="R91" s="49"/>
      <c r="S91" s="49"/>
      <c r="T91" s="50"/>
      <c r="U91" s="49"/>
      <c r="V91" s="49"/>
      <c r="W91" s="50"/>
      <c r="X91" s="49"/>
      <c r="Y91" s="49"/>
      <c r="AA91" s="1"/>
      <c r="AB91" s="1"/>
      <c r="AC91" s="1"/>
      <c r="AD91" s="1"/>
    </row>
    <row r="92" spans="2:33">
      <c r="F92" s="49"/>
      <c r="G92" s="49"/>
      <c r="H92" s="8"/>
      <c r="I92" s="49"/>
      <c r="J92" s="49"/>
      <c r="K92" s="50"/>
      <c r="L92" s="49"/>
      <c r="M92" s="49"/>
      <c r="N92" s="50"/>
      <c r="O92" s="49"/>
      <c r="P92" s="49"/>
      <c r="Q92" s="50"/>
      <c r="R92" s="49"/>
      <c r="S92" s="49"/>
      <c r="T92" s="50"/>
      <c r="U92" s="49"/>
      <c r="V92" s="49"/>
      <c r="W92" s="50"/>
      <c r="X92" s="49"/>
      <c r="Y92" s="49"/>
      <c r="AA92" s="1"/>
      <c r="AB92" s="1"/>
      <c r="AC92" s="1"/>
      <c r="AD92" s="1"/>
    </row>
    <row r="93" spans="2:33">
      <c r="F93" s="49"/>
      <c r="G93" s="49"/>
      <c r="H93" s="8"/>
      <c r="I93" s="49"/>
      <c r="J93" s="49"/>
      <c r="K93" s="50"/>
      <c r="L93" s="49"/>
      <c r="M93" s="49"/>
      <c r="N93" s="50"/>
      <c r="O93" s="49"/>
      <c r="P93" s="49"/>
      <c r="Q93" s="50"/>
      <c r="R93" s="49"/>
      <c r="S93" s="49"/>
      <c r="T93" s="50"/>
      <c r="U93" s="49"/>
      <c r="V93" s="49"/>
      <c r="W93" s="50"/>
      <c r="X93" s="49"/>
      <c r="Y93" s="49"/>
      <c r="AA93" s="1"/>
      <c r="AB93" s="1"/>
      <c r="AC93" s="1"/>
      <c r="AD93" s="1"/>
    </row>
    <row r="94" spans="2:33">
      <c r="F94" s="49"/>
      <c r="G94" s="49"/>
      <c r="H94" s="8"/>
      <c r="I94" s="49"/>
      <c r="J94" s="49"/>
      <c r="K94" s="50"/>
      <c r="L94" s="49"/>
      <c r="M94" s="49"/>
      <c r="N94" s="50"/>
      <c r="O94" s="49"/>
      <c r="P94" s="49"/>
      <c r="Q94" s="50"/>
      <c r="R94" s="49"/>
      <c r="S94" s="49"/>
      <c r="T94" s="50"/>
      <c r="U94" s="49"/>
      <c r="V94" s="49"/>
      <c r="W94" s="50"/>
      <c r="X94" s="49"/>
      <c r="Y94" s="49"/>
      <c r="AA94" s="1"/>
      <c r="AB94" s="1"/>
      <c r="AC94" s="1"/>
      <c r="AD94" s="1"/>
    </row>
    <row r="95" spans="2:33">
      <c r="F95" s="49"/>
      <c r="G95" s="49"/>
      <c r="H95" s="8"/>
      <c r="I95" s="49"/>
      <c r="J95" s="49"/>
      <c r="K95" s="50"/>
      <c r="L95" s="49"/>
      <c r="M95" s="49"/>
      <c r="N95" s="50"/>
      <c r="O95" s="49"/>
      <c r="P95" s="49"/>
      <c r="Q95" s="50"/>
      <c r="R95" s="49"/>
      <c r="S95" s="49"/>
      <c r="T95" s="50"/>
      <c r="U95" s="49"/>
      <c r="V95" s="49"/>
      <c r="W95" s="50"/>
      <c r="X95" s="49"/>
      <c r="Y95" s="49"/>
      <c r="AA95" s="1"/>
      <c r="AB95" s="1"/>
      <c r="AC95" s="1"/>
      <c r="AD95" s="1"/>
    </row>
    <row r="96" spans="2:33">
      <c r="F96" s="49"/>
      <c r="G96" s="49"/>
      <c r="H96" s="8"/>
      <c r="I96" s="49"/>
      <c r="J96" s="49"/>
      <c r="K96" s="50"/>
      <c r="L96" s="49"/>
      <c r="M96" s="49"/>
      <c r="N96" s="50"/>
      <c r="O96" s="49"/>
      <c r="P96" s="49"/>
      <c r="Q96" s="50"/>
      <c r="R96" s="49"/>
      <c r="S96" s="49"/>
      <c r="T96" s="50"/>
      <c r="U96" s="49"/>
      <c r="V96" s="49"/>
      <c r="W96" s="50"/>
      <c r="X96" s="49"/>
      <c r="Y96" s="49"/>
      <c r="AA96" s="1"/>
      <c r="AB96" s="1"/>
      <c r="AC96" s="1"/>
      <c r="AD96" s="1"/>
    </row>
    <row r="97" spans="6:30">
      <c r="F97" s="49"/>
      <c r="G97" s="49"/>
      <c r="H97" s="8"/>
      <c r="I97" s="49"/>
      <c r="J97" s="49"/>
      <c r="K97" s="50"/>
      <c r="L97" s="49"/>
      <c r="M97" s="49"/>
      <c r="N97" s="50"/>
      <c r="O97" s="49"/>
      <c r="P97" s="49"/>
      <c r="Q97" s="50"/>
      <c r="R97" s="49"/>
      <c r="S97" s="49"/>
      <c r="T97" s="50"/>
      <c r="U97" s="49"/>
      <c r="V97" s="49"/>
      <c r="W97" s="50"/>
      <c r="X97" s="49"/>
      <c r="Y97" s="49"/>
      <c r="AA97" s="1"/>
      <c r="AB97" s="1"/>
      <c r="AC97" s="1"/>
      <c r="AD97" s="1"/>
    </row>
    <row r="98" spans="6:30">
      <c r="F98" s="49"/>
      <c r="G98" s="49"/>
      <c r="H98" s="8"/>
      <c r="I98" s="49"/>
      <c r="J98" s="49"/>
      <c r="K98" s="50"/>
      <c r="L98" s="49"/>
      <c r="M98" s="49"/>
      <c r="N98" s="50"/>
      <c r="O98" s="49"/>
      <c r="P98" s="49"/>
      <c r="Q98" s="50"/>
      <c r="R98" s="49"/>
      <c r="S98" s="49"/>
      <c r="T98" s="50"/>
      <c r="U98" s="49"/>
      <c r="V98" s="49"/>
      <c r="W98" s="50"/>
      <c r="X98" s="49"/>
      <c r="Y98" s="49"/>
      <c r="AA98" s="1"/>
      <c r="AB98" s="1"/>
      <c r="AC98" s="1"/>
      <c r="AD98" s="1"/>
    </row>
    <row r="99" spans="6:30">
      <c r="F99" s="49"/>
      <c r="G99" s="49"/>
      <c r="H99" s="8"/>
      <c r="I99" s="49"/>
      <c r="J99" s="49"/>
      <c r="K99" s="50"/>
      <c r="L99" s="49"/>
      <c r="M99" s="49"/>
      <c r="N99" s="50"/>
      <c r="O99" s="49"/>
      <c r="P99" s="49"/>
      <c r="Q99" s="50"/>
      <c r="R99" s="49"/>
      <c r="S99" s="49"/>
      <c r="T99" s="50"/>
      <c r="U99" s="49"/>
      <c r="V99" s="49"/>
      <c r="W99" s="50"/>
      <c r="X99" s="49"/>
      <c r="Y99" s="49"/>
      <c r="AA99" s="1"/>
      <c r="AB99" s="1"/>
      <c r="AC99" s="1"/>
      <c r="AD99" s="1"/>
    </row>
    <row r="100" spans="6:30">
      <c r="F100" s="49"/>
      <c r="G100" s="49"/>
      <c r="H100" s="8"/>
      <c r="I100" s="49"/>
      <c r="J100" s="49"/>
      <c r="K100" s="50"/>
      <c r="L100" s="49"/>
      <c r="M100" s="49"/>
      <c r="N100" s="50"/>
      <c r="O100" s="49"/>
      <c r="P100" s="49"/>
      <c r="Q100" s="50"/>
      <c r="R100" s="49"/>
      <c r="S100" s="49"/>
      <c r="T100" s="50"/>
      <c r="U100" s="49"/>
      <c r="V100" s="49"/>
      <c r="W100" s="50"/>
      <c r="X100" s="49"/>
      <c r="Y100" s="49"/>
      <c r="AA100" s="1"/>
      <c r="AB100" s="1"/>
      <c r="AC100" s="1"/>
      <c r="AD100" s="1"/>
    </row>
    <row r="101" spans="6:30">
      <c r="F101" s="49"/>
      <c r="G101" s="49"/>
      <c r="H101" s="8"/>
      <c r="I101" s="49"/>
      <c r="J101" s="49"/>
      <c r="K101" s="50"/>
      <c r="L101" s="49"/>
      <c r="M101" s="49"/>
      <c r="N101" s="50"/>
      <c r="O101" s="49"/>
      <c r="P101" s="49"/>
      <c r="Q101" s="50"/>
      <c r="R101" s="49"/>
      <c r="S101" s="49"/>
      <c r="T101" s="50"/>
      <c r="U101" s="49"/>
      <c r="V101" s="49"/>
      <c r="W101" s="50"/>
      <c r="X101" s="49"/>
      <c r="Y101" s="49"/>
      <c r="AA101" s="1"/>
      <c r="AB101" s="1"/>
      <c r="AC101" s="1"/>
      <c r="AD101" s="1"/>
    </row>
    <row r="102" spans="6:30">
      <c r="F102" s="49"/>
      <c r="G102" s="49"/>
      <c r="H102" s="8"/>
      <c r="I102" s="49"/>
      <c r="J102" s="49"/>
      <c r="K102" s="50"/>
      <c r="L102" s="49"/>
      <c r="M102" s="49"/>
      <c r="N102" s="50"/>
      <c r="O102" s="49"/>
      <c r="P102" s="49"/>
      <c r="Q102" s="50"/>
      <c r="R102" s="49"/>
      <c r="S102" s="49"/>
      <c r="T102" s="50"/>
      <c r="U102" s="49"/>
      <c r="V102" s="49"/>
      <c r="W102" s="50"/>
      <c r="X102" s="49"/>
      <c r="Y102" s="49"/>
      <c r="AA102" s="1"/>
      <c r="AB102" s="1"/>
      <c r="AC102" s="1"/>
      <c r="AD102" s="1"/>
    </row>
    <row r="103" spans="6:30">
      <c r="F103" s="49"/>
      <c r="G103" s="49"/>
      <c r="H103" s="8"/>
      <c r="I103" s="49"/>
      <c r="J103" s="49"/>
      <c r="K103" s="50"/>
      <c r="L103" s="49"/>
      <c r="M103" s="49"/>
      <c r="N103" s="50"/>
      <c r="O103" s="49"/>
      <c r="P103" s="49"/>
      <c r="Q103" s="50"/>
      <c r="R103" s="49"/>
      <c r="S103" s="49"/>
      <c r="T103" s="50"/>
      <c r="U103" s="49"/>
      <c r="V103" s="49"/>
      <c r="W103" s="50"/>
      <c r="X103" s="49"/>
      <c r="Y103" s="49"/>
      <c r="AA103" s="1"/>
      <c r="AB103" s="1"/>
      <c r="AC103" s="1"/>
      <c r="AD103" s="1"/>
    </row>
    <row r="104" spans="6:30">
      <c r="F104" s="49"/>
      <c r="G104" s="49"/>
      <c r="H104" s="8"/>
      <c r="I104" s="49"/>
      <c r="J104" s="49"/>
      <c r="K104" s="50"/>
      <c r="L104" s="49"/>
      <c r="M104" s="49"/>
      <c r="N104" s="50"/>
      <c r="O104" s="49"/>
      <c r="P104" s="49"/>
      <c r="Q104" s="50"/>
      <c r="R104" s="49"/>
      <c r="S104" s="49"/>
      <c r="T104" s="50"/>
      <c r="U104" s="49"/>
      <c r="V104" s="49"/>
      <c r="W104" s="50"/>
      <c r="X104" s="49"/>
      <c r="Y104" s="49"/>
      <c r="AA104" s="1"/>
      <c r="AB104" s="1"/>
      <c r="AC104" s="1"/>
      <c r="AD104" s="1"/>
    </row>
    <row r="105" spans="6:30">
      <c r="F105" s="49"/>
      <c r="G105" s="49"/>
      <c r="H105" s="8"/>
      <c r="I105" s="49"/>
      <c r="J105" s="49"/>
      <c r="K105" s="50"/>
      <c r="L105" s="49"/>
      <c r="M105" s="49"/>
      <c r="N105" s="50"/>
      <c r="O105" s="49"/>
      <c r="P105" s="49"/>
      <c r="Q105" s="50"/>
      <c r="R105" s="49"/>
      <c r="S105" s="49"/>
      <c r="T105" s="50"/>
      <c r="U105" s="49"/>
      <c r="V105" s="49"/>
      <c r="W105" s="50"/>
      <c r="X105" s="49"/>
      <c r="Y105" s="49"/>
      <c r="AA105" s="1"/>
      <c r="AB105" s="1"/>
      <c r="AC105" s="1"/>
      <c r="AD105" s="1"/>
    </row>
    <row r="106" spans="6:30">
      <c r="F106" s="49"/>
      <c r="G106" s="49"/>
      <c r="H106" s="8"/>
      <c r="I106" s="49"/>
      <c r="J106" s="49"/>
      <c r="K106" s="50"/>
      <c r="L106" s="49"/>
      <c r="M106" s="49"/>
      <c r="N106" s="50"/>
      <c r="O106" s="49"/>
      <c r="P106" s="49"/>
      <c r="Q106" s="50"/>
      <c r="R106" s="49"/>
      <c r="S106" s="49"/>
      <c r="T106" s="50"/>
      <c r="U106" s="49"/>
      <c r="V106" s="49"/>
      <c r="W106" s="50"/>
      <c r="X106" s="49"/>
      <c r="Y106" s="49"/>
      <c r="AA106" s="1"/>
      <c r="AB106" s="1"/>
      <c r="AC106" s="1"/>
      <c r="AD106" s="1"/>
    </row>
    <row r="107" spans="6:30">
      <c r="F107" s="49"/>
      <c r="G107" s="49"/>
      <c r="H107" s="8"/>
      <c r="I107" s="49"/>
      <c r="J107" s="49"/>
      <c r="K107" s="50"/>
      <c r="L107" s="49"/>
      <c r="M107" s="49"/>
      <c r="N107" s="50"/>
      <c r="O107" s="49"/>
      <c r="P107" s="49"/>
      <c r="Q107" s="50"/>
      <c r="R107" s="49"/>
      <c r="S107" s="49"/>
      <c r="T107" s="50"/>
      <c r="U107" s="49"/>
      <c r="V107" s="49"/>
      <c r="W107" s="50"/>
      <c r="X107" s="49"/>
      <c r="Y107" s="49"/>
      <c r="AA107" s="1"/>
      <c r="AB107" s="1"/>
      <c r="AC107" s="1"/>
      <c r="AD107" s="1"/>
    </row>
    <row r="108" spans="6:30">
      <c r="F108" s="49"/>
      <c r="G108" s="49"/>
      <c r="H108" s="8"/>
      <c r="I108" s="49"/>
      <c r="J108" s="49"/>
      <c r="K108" s="50"/>
      <c r="L108" s="49"/>
      <c r="M108" s="49"/>
      <c r="N108" s="50"/>
      <c r="O108" s="49"/>
      <c r="P108" s="49"/>
      <c r="Q108" s="50"/>
      <c r="R108" s="49"/>
      <c r="S108" s="49"/>
      <c r="T108" s="50"/>
      <c r="U108" s="49"/>
      <c r="V108" s="49"/>
      <c r="W108" s="50"/>
      <c r="X108" s="49"/>
      <c r="Y108" s="49"/>
      <c r="AA108" s="1"/>
      <c r="AB108" s="1"/>
      <c r="AC108" s="1"/>
      <c r="AD108" s="1"/>
    </row>
    <row r="109" spans="6:30">
      <c r="F109" s="49"/>
      <c r="G109" s="49"/>
      <c r="H109" s="8"/>
      <c r="I109" s="49"/>
      <c r="J109" s="49"/>
      <c r="K109" s="50"/>
      <c r="L109" s="49"/>
      <c r="M109" s="49"/>
      <c r="N109" s="50"/>
      <c r="O109" s="49"/>
      <c r="P109" s="49"/>
      <c r="Q109" s="50"/>
      <c r="R109" s="49"/>
      <c r="S109" s="49"/>
      <c r="T109" s="50"/>
      <c r="U109" s="49"/>
      <c r="V109" s="49"/>
      <c r="W109" s="50"/>
      <c r="X109" s="49"/>
      <c r="Y109" s="49"/>
      <c r="AA109" s="1"/>
      <c r="AB109" s="1"/>
      <c r="AC109" s="1"/>
      <c r="AD109" s="1"/>
    </row>
    <row r="110" spans="6:30">
      <c r="F110" s="49"/>
      <c r="G110" s="49"/>
      <c r="H110" s="8"/>
      <c r="I110" s="49"/>
      <c r="J110" s="49"/>
      <c r="K110" s="50"/>
      <c r="L110" s="49"/>
      <c r="M110" s="49"/>
      <c r="N110" s="50"/>
      <c r="O110" s="49"/>
      <c r="P110" s="49"/>
      <c r="Q110" s="50"/>
      <c r="R110" s="49"/>
      <c r="S110" s="49"/>
      <c r="T110" s="50"/>
      <c r="U110" s="49"/>
      <c r="V110" s="49"/>
      <c r="W110" s="50"/>
      <c r="X110" s="49"/>
      <c r="Y110" s="49"/>
      <c r="AA110" s="1"/>
      <c r="AB110" s="1"/>
      <c r="AC110" s="1"/>
      <c r="AD110" s="1"/>
    </row>
    <row r="111" spans="6:30">
      <c r="F111" s="49"/>
      <c r="G111" s="49"/>
      <c r="H111" s="8"/>
      <c r="I111" s="49"/>
      <c r="J111" s="49"/>
      <c r="K111" s="50"/>
      <c r="L111" s="49"/>
      <c r="M111" s="49"/>
      <c r="N111" s="50"/>
      <c r="O111" s="49"/>
      <c r="P111" s="49"/>
      <c r="Q111" s="50"/>
      <c r="R111" s="49"/>
      <c r="S111" s="49"/>
      <c r="T111" s="50"/>
      <c r="U111" s="49"/>
      <c r="V111" s="49"/>
      <c r="W111" s="50"/>
      <c r="X111" s="49"/>
      <c r="Y111" s="49"/>
      <c r="AA111" s="1"/>
      <c r="AB111" s="1"/>
      <c r="AC111" s="1"/>
      <c r="AD111" s="1"/>
    </row>
    <row r="112" spans="6:30">
      <c r="F112" s="49"/>
      <c r="G112" s="49"/>
      <c r="H112" s="8"/>
      <c r="I112" s="49"/>
      <c r="J112" s="49"/>
      <c r="K112" s="50"/>
      <c r="L112" s="49"/>
      <c r="M112" s="49"/>
      <c r="N112" s="50"/>
      <c r="O112" s="49"/>
      <c r="P112" s="49"/>
      <c r="Q112" s="50"/>
      <c r="R112" s="49"/>
      <c r="S112" s="49"/>
      <c r="T112" s="50"/>
      <c r="U112" s="49"/>
      <c r="V112" s="49"/>
      <c r="W112" s="50"/>
      <c r="X112" s="49"/>
      <c r="Y112" s="49"/>
      <c r="AA112" s="1"/>
      <c r="AB112" s="1"/>
      <c r="AC112" s="1"/>
      <c r="AD112" s="1"/>
    </row>
    <row r="113" spans="6:30">
      <c r="F113" s="49"/>
      <c r="G113" s="49"/>
      <c r="H113" s="8"/>
      <c r="I113" s="49"/>
      <c r="J113" s="49"/>
      <c r="K113" s="50"/>
      <c r="L113" s="49"/>
      <c r="M113" s="49"/>
      <c r="N113" s="50"/>
      <c r="O113" s="49"/>
      <c r="P113" s="49"/>
      <c r="Q113" s="50"/>
      <c r="R113" s="49"/>
      <c r="S113" s="49"/>
      <c r="T113" s="50"/>
      <c r="U113" s="49"/>
      <c r="V113" s="49"/>
      <c r="W113" s="50"/>
      <c r="X113" s="49"/>
      <c r="Y113" s="49"/>
      <c r="AA113" s="1"/>
      <c r="AB113" s="1"/>
      <c r="AC113" s="1"/>
      <c r="AD113" s="1"/>
    </row>
    <row r="114" spans="6:30">
      <c r="F114" s="49"/>
      <c r="G114" s="49"/>
      <c r="H114" s="8"/>
      <c r="I114" s="49"/>
      <c r="J114" s="49"/>
      <c r="K114" s="50"/>
      <c r="L114" s="49"/>
      <c r="M114" s="49"/>
      <c r="N114" s="50"/>
      <c r="O114" s="49"/>
      <c r="P114" s="49"/>
      <c r="Q114" s="50"/>
      <c r="R114" s="49"/>
      <c r="S114" s="49"/>
      <c r="T114" s="50"/>
      <c r="U114" s="49"/>
      <c r="V114" s="49"/>
      <c r="W114" s="50"/>
      <c r="X114" s="49"/>
      <c r="Y114" s="49"/>
      <c r="AA114" s="1"/>
      <c r="AB114" s="1"/>
      <c r="AC114" s="1"/>
      <c r="AD114" s="1"/>
    </row>
    <row r="115" spans="6:30">
      <c r="F115" s="49"/>
      <c r="G115" s="49"/>
      <c r="H115" s="8"/>
      <c r="I115" s="49"/>
      <c r="J115" s="49"/>
      <c r="K115" s="50"/>
      <c r="L115" s="49"/>
      <c r="M115" s="49"/>
      <c r="N115" s="50"/>
      <c r="O115" s="49"/>
      <c r="P115" s="49"/>
      <c r="Q115" s="50"/>
      <c r="R115" s="49"/>
      <c r="S115" s="49"/>
      <c r="T115" s="50"/>
      <c r="U115" s="49"/>
      <c r="V115" s="49"/>
      <c r="W115" s="50"/>
      <c r="X115" s="49"/>
      <c r="Y115" s="49"/>
      <c r="AA115" s="1"/>
      <c r="AB115" s="1"/>
      <c r="AC115" s="1"/>
      <c r="AD115" s="1"/>
    </row>
    <row r="116" spans="6:30">
      <c r="F116" s="49"/>
      <c r="G116" s="49"/>
      <c r="H116" s="8"/>
      <c r="I116" s="49"/>
      <c r="J116" s="49"/>
      <c r="K116" s="50"/>
      <c r="L116" s="49"/>
      <c r="M116" s="49"/>
      <c r="N116" s="50"/>
      <c r="O116" s="49"/>
      <c r="P116" s="49"/>
      <c r="Q116" s="50"/>
      <c r="R116" s="49"/>
      <c r="S116" s="49"/>
      <c r="T116" s="50"/>
      <c r="U116" s="49"/>
      <c r="V116" s="49"/>
      <c r="W116" s="50"/>
      <c r="X116" s="49"/>
      <c r="Y116" s="49"/>
      <c r="AA116" s="1"/>
      <c r="AB116" s="1"/>
      <c r="AC116" s="1"/>
      <c r="AD116" s="1"/>
    </row>
    <row r="117" spans="6:30">
      <c r="F117" s="49"/>
      <c r="G117" s="49"/>
      <c r="H117" s="8"/>
      <c r="I117" s="49"/>
      <c r="J117" s="49"/>
      <c r="K117" s="50"/>
      <c r="L117" s="49"/>
      <c r="M117" s="49"/>
      <c r="N117" s="50"/>
      <c r="O117" s="49"/>
      <c r="P117" s="49"/>
      <c r="Q117" s="50"/>
      <c r="R117" s="49"/>
      <c r="S117" s="49"/>
      <c r="T117" s="50"/>
      <c r="U117" s="49"/>
      <c r="V117" s="49"/>
      <c r="W117" s="50"/>
      <c r="X117" s="49"/>
      <c r="Y117" s="49"/>
      <c r="AA117" s="1"/>
      <c r="AB117" s="1"/>
      <c r="AC117" s="1"/>
      <c r="AD117" s="1"/>
    </row>
    <row r="118" spans="6:30">
      <c r="F118" s="49"/>
      <c r="G118" s="49"/>
      <c r="H118" s="8"/>
      <c r="I118" s="49"/>
      <c r="J118" s="49"/>
      <c r="K118" s="50"/>
      <c r="L118" s="49"/>
      <c r="M118" s="49"/>
      <c r="N118" s="50"/>
      <c r="O118" s="49"/>
      <c r="P118" s="49"/>
      <c r="Q118" s="50"/>
      <c r="R118" s="49"/>
      <c r="S118" s="49"/>
      <c r="T118" s="50"/>
      <c r="U118" s="49"/>
      <c r="V118" s="49"/>
      <c r="W118" s="50"/>
      <c r="X118" s="49"/>
      <c r="Y118" s="49"/>
      <c r="AA118" s="1"/>
      <c r="AB118" s="1"/>
      <c r="AC118" s="1"/>
      <c r="AD118" s="1"/>
    </row>
    <row r="119" spans="6:30">
      <c r="F119" s="49"/>
      <c r="G119" s="49"/>
      <c r="H119" s="8"/>
      <c r="I119" s="49"/>
      <c r="J119" s="49"/>
      <c r="K119" s="50"/>
      <c r="L119" s="49"/>
      <c r="M119" s="49"/>
      <c r="N119" s="50"/>
      <c r="O119" s="49"/>
      <c r="P119" s="49"/>
      <c r="Q119" s="50"/>
      <c r="R119" s="49"/>
      <c r="S119" s="49"/>
      <c r="T119" s="50"/>
      <c r="U119" s="49"/>
      <c r="V119" s="49"/>
      <c r="W119" s="50"/>
      <c r="X119" s="49"/>
      <c r="Y119" s="49"/>
      <c r="AA119" s="1"/>
      <c r="AB119" s="1"/>
      <c r="AC119" s="1"/>
      <c r="AD119" s="1"/>
    </row>
    <row r="120" spans="6:30">
      <c r="F120" s="49"/>
      <c r="G120" s="49"/>
      <c r="H120" s="8"/>
      <c r="I120" s="49"/>
      <c r="J120" s="49"/>
      <c r="K120" s="50"/>
      <c r="L120" s="49"/>
      <c r="M120" s="49"/>
      <c r="N120" s="50"/>
      <c r="O120" s="49"/>
      <c r="P120" s="49"/>
      <c r="Q120" s="50"/>
      <c r="R120" s="49"/>
      <c r="S120" s="49"/>
      <c r="T120" s="50"/>
      <c r="U120" s="49"/>
      <c r="V120" s="49"/>
      <c r="W120" s="50"/>
      <c r="X120" s="49"/>
      <c r="Y120" s="49"/>
      <c r="AA120" s="1"/>
      <c r="AB120" s="1"/>
      <c r="AC120" s="1"/>
      <c r="AD120" s="1"/>
    </row>
    <row r="121" spans="6:30">
      <c r="F121" s="49"/>
      <c r="G121" s="49"/>
      <c r="H121" s="8"/>
      <c r="I121" s="49"/>
      <c r="J121" s="49"/>
      <c r="K121" s="50"/>
      <c r="L121" s="49"/>
      <c r="M121" s="49"/>
      <c r="N121" s="50"/>
      <c r="O121" s="49"/>
      <c r="P121" s="49"/>
      <c r="Q121" s="50"/>
      <c r="R121" s="49"/>
      <c r="S121" s="49"/>
      <c r="T121" s="50"/>
      <c r="U121" s="49"/>
      <c r="V121" s="49"/>
      <c r="W121" s="50"/>
      <c r="X121" s="49"/>
      <c r="Y121" s="49"/>
      <c r="AA121" s="1"/>
      <c r="AB121" s="1"/>
      <c r="AC121" s="1"/>
      <c r="AD121" s="1"/>
    </row>
    <row r="122" spans="6:30">
      <c r="F122" s="49"/>
      <c r="G122" s="49"/>
      <c r="H122" s="8"/>
      <c r="I122" s="49"/>
      <c r="J122" s="49"/>
      <c r="K122" s="50"/>
      <c r="L122" s="49"/>
      <c r="M122" s="49"/>
      <c r="N122" s="50"/>
      <c r="O122" s="49"/>
      <c r="P122" s="49"/>
      <c r="Q122" s="50"/>
      <c r="R122" s="49"/>
      <c r="S122" s="49"/>
      <c r="T122" s="50"/>
      <c r="U122" s="49"/>
      <c r="V122" s="49"/>
      <c r="W122" s="50"/>
      <c r="X122" s="49"/>
      <c r="Y122" s="49"/>
      <c r="AA122" s="1"/>
      <c r="AB122" s="1"/>
      <c r="AC122" s="1"/>
      <c r="AD122" s="1"/>
    </row>
    <row r="123" spans="6:30">
      <c r="F123" s="49"/>
      <c r="G123" s="49"/>
      <c r="H123" s="8"/>
      <c r="I123" s="49"/>
      <c r="J123" s="49"/>
      <c r="K123" s="50"/>
      <c r="L123" s="49"/>
      <c r="M123" s="49"/>
      <c r="N123" s="50"/>
      <c r="O123" s="49"/>
      <c r="P123" s="49"/>
      <c r="Q123" s="50"/>
      <c r="R123" s="49"/>
      <c r="S123" s="49"/>
      <c r="T123" s="50"/>
      <c r="U123" s="49"/>
      <c r="V123" s="49"/>
      <c r="W123" s="50"/>
      <c r="X123" s="49"/>
      <c r="Y123" s="49"/>
      <c r="AA123" s="1"/>
      <c r="AB123" s="1"/>
      <c r="AC123" s="1"/>
      <c r="AD123" s="1"/>
    </row>
    <row r="124" spans="6:30">
      <c r="F124" s="49"/>
      <c r="G124" s="49"/>
      <c r="H124" s="8"/>
      <c r="I124" s="49"/>
      <c r="J124" s="49"/>
      <c r="K124" s="50"/>
      <c r="L124" s="49"/>
      <c r="M124" s="49"/>
      <c r="N124" s="50"/>
      <c r="O124" s="49"/>
      <c r="P124" s="49"/>
      <c r="Q124" s="50"/>
      <c r="R124" s="49"/>
      <c r="S124" s="49"/>
      <c r="T124" s="50"/>
      <c r="U124" s="49"/>
      <c r="V124" s="49"/>
      <c r="W124" s="50"/>
      <c r="X124" s="49"/>
      <c r="Y124" s="49"/>
      <c r="AA124" s="1"/>
      <c r="AB124" s="1"/>
      <c r="AC124" s="1"/>
      <c r="AD124" s="1"/>
    </row>
    <row r="125" spans="6:30">
      <c r="F125" s="49"/>
      <c r="G125" s="49"/>
      <c r="H125" s="8"/>
      <c r="I125" s="49"/>
      <c r="J125" s="49"/>
      <c r="K125" s="50"/>
      <c r="L125" s="49"/>
      <c r="M125" s="49"/>
      <c r="N125" s="50"/>
      <c r="O125" s="49"/>
      <c r="P125" s="49"/>
      <c r="Q125" s="50"/>
      <c r="R125" s="49"/>
      <c r="S125" s="49"/>
      <c r="T125" s="50"/>
      <c r="U125" s="49"/>
      <c r="V125" s="49"/>
      <c r="W125" s="50"/>
      <c r="X125" s="49"/>
      <c r="Y125" s="49"/>
      <c r="AA125" s="1"/>
      <c r="AB125" s="1"/>
      <c r="AC125" s="1"/>
      <c r="AD125" s="1"/>
    </row>
    <row r="126" spans="6:30">
      <c r="H126" s="1"/>
      <c r="AA126" s="1"/>
      <c r="AB126" s="1"/>
      <c r="AC126" s="1"/>
      <c r="AD126" s="1"/>
    </row>
    <row r="127" spans="6:30">
      <c r="H127" s="1"/>
      <c r="AA127" s="1"/>
      <c r="AB127" s="1"/>
      <c r="AC127" s="1"/>
      <c r="AD127" s="1"/>
    </row>
    <row r="128" spans="6:30">
      <c r="H128" s="1"/>
      <c r="AA128" s="1"/>
      <c r="AB128" s="1"/>
      <c r="AC128" s="1"/>
      <c r="AD128" s="1"/>
    </row>
    <row r="129" spans="8:30">
      <c r="H129" s="1"/>
      <c r="AA129" s="1"/>
      <c r="AB129" s="1"/>
      <c r="AC129" s="1"/>
      <c r="AD129" s="1"/>
    </row>
    <row r="130" spans="8:30">
      <c r="H130" s="1"/>
      <c r="AA130" s="1"/>
      <c r="AB130" s="1"/>
      <c r="AC130" s="1"/>
      <c r="AD130" s="1"/>
    </row>
    <row r="131" spans="8:30">
      <c r="H131" s="1"/>
      <c r="AA131" s="1"/>
      <c r="AB131" s="1"/>
      <c r="AC131" s="1"/>
      <c r="AD131" s="1"/>
    </row>
    <row r="132" spans="8:30">
      <c r="H132" s="1"/>
      <c r="AA132" s="1"/>
      <c r="AB132" s="1"/>
      <c r="AC132" s="1"/>
      <c r="AD132" s="1"/>
    </row>
    <row r="133" spans="8:30">
      <c r="H133" s="1"/>
      <c r="AA133" s="1"/>
      <c r="AB133" s="1"/>
      <c r="AC133" s="1"/>
      <c r="AD133" s="1"/>
    </row>
    <row r="134" spans="8:30">
      <c r="H134" s="1"/>
      <c r="AA134" s="1"/>
      <c r="AB134" s="1"/>
      <c r="AC134" s="1"/>
      <c r="AD134" s="1"/>
    </row>
    <row r="135" spans="8:30">
      <c r="H135" s="1"/>
      <c r="AA135" s="1"/>
      <c r="AB135" s="1"/>
      <c r="AC135" s="1"/>
      <c r="AD135" s="1"/>
    </row>
    <row r="136" spans="8:30">
      <c r="H136" s="1"/>
      <c r="AA136" s="1"/>
      <c r="AB136" s="1"/>
      <c r="AC136" s="1"/>
      <c r="AD136" s="1"/>
    </row>
    <row r="137" spans="8:30">
      <c r="H137" s="1"/>
      <c r="AA137" s="1"/>
      <c r="AB137" s="1"/>
      <c r="AC137" s="1"/>
      <c r="AD137" s="1"/>
    </row>
    <row r="138" spans="8:30">
      <c r="H138" s="1"/>
      <c r="AA138" s="1"/>
      <c r="AB138" s="1"/>
      <c r="AC138" s="1"/>
      <c r="AD138" s="1"/>
    </row>
    <row r="139" spans="8:30">
      <c r="H139" s="1"/>
      <c r="AA139" s="1"/>
      <c r="AB139" s="1"/>
      <c r="AC139" s="1"/>
      <c r="AD139" s="1"/>
    </row>
    <row r="140" spans="8:30">
      <c r="H140" s="1"/>
      <c r="AA140" s="1"/>
      <c r="AB140" s="1"/>
      <c r="AC140" s="1"/>
      <c r="AD140" s="1"/>
    </row>
    <row r="141" spans="8:30">
      <c r="H141" s="1"/>
      <c r="AA141" s="1"/>
      <c r="AB141" s="1"/>
      <c r="AC141" s="1"/>
      <c r="AD141" s="1"/>
    </row>
    <row r="142" spans="8:30">
      <c r="H142" s="1"/>
      <c r="AA142" s="1"/>
      <c r="AB142" s="1"/>
      <c r="AC142" s="1"/>
      <c r="AD142" s="1"/>
    </row>
    <row r="143" spans="8:30">
      <c r="H143" s="1"/>
    </row>
    <row r="144" spans="8:30">
      <c r="H144" s="1"/>
    </row>
    <row r="145" spans="8:8">
      <c r="H145" s="1"/>
    </row>
    <row r="146" spans="8:8">
      <c r="H146" s="1"/>
    </row>
    <row r="147" spans="8:8">
      <c r="H147" s="1"/>
    </row>
    <row r="148" spans="8:8">
      <c r="H148" s="1"/>
    </row>
    <row r="149" spans="8:8">
      <c r="H149" s="1"/>
    </row>
    <row r="150" spans="8:8">
      <c r="H150" s="1"/>
    </row>
    <row r="151" spans="8:8">
      <c r="H151" s="1"/>
    </row>
    <row r="152" spans="8:8">
      <c r="H152" s="1"/>
    </row>
    <row r="153" spans="8:8">
      <c r="H153" s="1"/>
    </row>
    <row r="154" spans="8:8">
      <c r="H154" s="1"/>
    </row>
    <row r="155" spans="8:8">
      <c r="H155" s="1"/>
    </row>
    <row r="156" spans="8:8">
      <c r="H156" s="1"/>
    </row>
    <row r="157" spans="8:8">
      <c r="H157" s="1"/>
    </row>
    <row r="158" spans="8:8">
      <c r="H158" s="1"/>
    </row>
    <row r="159" spans="8:8">
      <c r="H159" s="1"/>
    </row>
    <row r="160" spans="8:8">
      <c r="H160" s="1"/>
    </row>
    <row r="161" spans="8:8">
      <c r="H161" s="1"/>
    </row>
    <row r="162" spans="8:8">
      <c r="H162" s="1"/>
    </row>
    <row r="163" spans="8:8">
      <c r="H163" s="1"/>
    </row>
    <row r="164" spans="8:8">
      <c r="H164" s="1"/>
    </row>
    <row r="165" spans="8:8">
      <c r="H165" s="1"/>
    </row>
    <row r="166" spans="8:8">
      <c r="H166" s="1"/>
    </row>
    <row r="167" spans="8:8">
      <c r="H167" s="1"/>
    </row>
    <row r="168" spans="8:8">
      <c r="H168" s="1"/>
    </row>
    <row r="169" spans="8:8">
      <c r="H169" s="1"/>
    </row>
    <row r="170" spans="8:8">
      <c r="H170" s="1"/>
    </row>
    <row r="171" spans="8:8">
      <c r="H171" s="1"/>
    </row>
    <row r="172" spans="8:8">
      <c r="H172" s="1"/>
    </row>
    <row r="173" spans="8:8">
      <c r="H173" s="1"/>
    </row>
    <row r="174" spans="8:8">
      <c r="H174" s="1"/>
    </row>
  </sheetData>
  <sheetProtection selectLockedCells="1"/>
  <mergeCells count="8">
    <mergeCell ref="R3:T3"/>
    <mergeCell ref="U3:W3"/>
    <mergeCell ref="X3:Z3"/>
    <mergeCell ref="B2:AE2"/>
    <mergeCell ref="F3:H3"/>
    <mergeCell ref="I3:K3"/>
    <mergeCell ref="L3:N3"/>
    <mergeCell ref="O3:Q3"/>
  </mergeCells>
  <phoneticPr fontId="2" type="noConversion"/>
  <hyperlinks>
    <hyperlink ref="AF2" location="turnaje!A1" display="turnaje"/>
  </hyperlinks>
  <pageMargins left="0.78740157499999996" right="0.78740157499999996" top="0.984251969" bottom="0.984251969" header="0.4921259845" footer="0.4921259845"/>
  <pageSetup paperSize="9" orientation="landscape" horizontalDpi="4294967293"/>
  <headerFooter alignWithMargins="0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5" enableFormatConditionsCalculation="0">
    <tabColor rgb="FF00B050"/>
  </sheetPr>
  <dimension ref="A1:Q125"/>
  <sheetViews>
    <sheetView showGridLines="0" showRowColHeaders="0" workbookViewId="0">
      <pane ySplit="1" topLeftCell="A2" activePane="bottomLeft" state="frozen"/>
      <selection pane="bottomLeft"/>
    </sheetView>
  </sheetViews>
  <sheetFormatPr defaultColWidth="8.85546875" defaultRowHeight="12.75"/>
  <cols>
    <col min="1" max="1" width="9.28515625" style="371" bestFit="1" customWidth="1"/>
    <col min="2" max="2" width="21.7109375" customWidth="1"/>
    <col min="3" max="3" width="5.7109375" customWidth="1"/>
    <col min="4" max="9" width="5.7109375" style="8" customWidth="1"/>
    <col min="10" max="10" width="7.42578125" customWidth="1"/>
    <col min="11" max="11" width="4" customWidth="1"/>
    <col min="12" max="12" width="7.42578125" customWidth="1"/>
    <col min="13" max="13" width="1.7109375" customWidth="1"/>
    <col min="14" max="14" width="9.28515625" bestFit="1" customWidth="1"/>
    <col min="15" max="15" width="15.28515625" customWidth="1"/>
    <col min="16" max="16" width="16.28515625" customWidth="1"/>
  </cols>
  <sheetData>
    <row r="1" spans="1:17" ht="19.5" customHeight="1">
      <c r="A1" s="353"/>
      <c r="B1" s="354" t="s">
        <v>268</v>
      </c>
      <c r="C1" s="355" t="s">
        <v>141</v>
      </c>
      <c r="D1" s="356" t="s">
        <v>145</v>
      </c>
      <c r="E1" s="357" t="s">
        <v>149</v>
      </c>
      <c r="F1" s="357" t="s">
        <v>153</v>
      </c>
      <c r="G1" s="356" t="s">
        <v>269</v>
      </c>
      <c r="H1" s="357" t="s">
        <v>270</v>
      </c>
      <c r="I1" s="357" t="s">
        <v>294</v>
      </c>
      <c r="J1" s="12" t="s">
        <v>48</v>
      </c>
      <c r="K1" s="13"/>
      <c r="L1" s="14" t="s">
        <v>51</v>
      </c>
      <c r="N1" s="351" t="s">
        <v>47</v>
      </c>
      <c r="O1" s="352" t="s">
        <v>52</v>
      </c>
      <c r="P1" s="352" t="s">
        <v>53</v>
      </c>
      <c r="Q1" s="533" t="s">
        <v>282</v>
      </c>
    </row>
    <row r="2" spans="1:17" s="7" customFormat="1" ht="15" customHeight="1">
      <c r="A2" s="365" t="s">
        <v>40</v>
      </c>
      <c r="B2" s="17" t="s">
        <v>63</v>
      </c>
      <c r="C2" s="15">
        <f>zápis!H5</f>
        <v>0</v>
      </c>
      <c r="D2" s="16">
        <f>zápis!N5</f>
        <v>0</v>
      </c>
      <c r="E2" s="16">
        <f>zápis!T5</f>
        <v>0</v>
      </c>
      <c r="F2" s="16">
        <f>zápis!Z5</f>
        <v>0</v>
      </c>
      <c r="G2" s="16">
        <f>zápis!AF5</f>
        <v>0</v>
      </c>
      <c r="H2" s="16">
        <f>zápis!AL5</f>
        <v>0</v>
      </c>
      <c r="I2" s="16">
        <f>zápis!AR5</f>
        <v>0</v>
      </c>
      <c r="J2" s="10">
        <f t="shared" ref="J2:J20" si="0">SUM(C2:I2)</f>
        <v>0</v>
      </c>
      <c r="K2" s="11">
        <f>zápis!AT5</f>
        <v>0</v>
      </c>
      <c r="L2" s="23" t="str">
        <f t="shared" ref="L2:L20" si="1">IF(K2=0,"",J2/K2)</f>
        <v/>
      </c>
      <c r="N2" s="520" t="s">
        <v>0</v>
      </c>
      <c r="O2" s="521">
        <f>zápis!$AU$97</f>
        <v>144.74202898550723</v>
      </c>
      <c r="P2" s="521">
        <f>SUM(O2*5)</f>
        <v>723.71014492753613</v>
      </c>
    </row>
    <row r="3" spans="1:17" s="7" customFormat="1" ht="15" customHeight="1">
      <c r="A3" s="365" t="s">
        <v>40</v>
      </c>
      <c r="B3" s="17" t="s">
        <v>43</v>
      </c>
      <c r="C3" s="15">
        <f>zápis!H2</f>
        <v>0</v>
      </c>
      <c r="D3" s="16">
        <f>zápis!N2</f>
        <v>0</v>
      </c>
      <c r="E3" s="16">
        <f>zápis!T2</f>
        <v>0</v>
      </c>
      <c r="F3" s="16">
        <f>zápis!Z2</f>
        <v>0</v>
      </c>
      <c r="G3" s="16">
        <f>zápis!AF2</f>
        <v>0</v>
      </c>
      <c r="H3" s="16">
        <f>zápis!AL2</f>
        <v>0</v>
      </c>
      <c r="I3" s="16">
        <f>zápis!AR2</f>
        <v>0</v>
      </c>
      <c r="J3" s="10">
        <f t="shared" si="0"/>
        <v>0</v>
      </c>
      <c r="K3" s="11">
        <f>zápis!AT2</f>
        <v>0</v>
      </c>
      <c r="L3" s="23" t="str">
        <f t="shared" si="1"/>
        <v/>
      </c>
      <c r="N3" s="518" t="s">
        <v>6</v>
      </c>
      <c r="O3" s="519">
        <f>zápis!$AU$48</f>
        <v>143.1742857142857</v>
      </c>
      <c r="P3" s="519">
        <f>SUM(O3*5)</f>
        <v>715.87142857142851</v>
      </c>
    </row>
    <row r="4" spans="1:17" s="7" customFormat="1" ht="15" customHeight="1">
      <c r="A4" s="365" t="s">
        <v>40</v>
      </c>
      <c r="B4" s="17" t="s">
        <v>62</v>
      </c>
      <c r="C4" s="15">
        <f>zápis!H4</f>
        <v>0</v>
      </c>
      <c r="D4" s="16">
        <f>zápis!N4</f>
        <v>0</v>
      </c>
      <c r="E4" s="16">
        <f>zápis!T4</f>
        <v>0</v>
      </c>
      <c r="F4" s="16">
        <f>zápis!Z4</f>
        <v>0</v>
      </c>
      <c r="G4" s="16">
        <f>zápis!AF4</f>
        <v>0</v>
      </c>
      <c r="H4" s="16">
        <f>zápis!AL4</f>
        <v>0</v>
      </c>
      <c r="I4" s="16">
        <f>zápis!AR4</f>
        <v>0</v>
      </c>
      <c r="J4" s="10">
        <f t="shared" si="0"/>
        <v>0</v>
      </c>
      <c r="K4" s="11">
        <f>zápis!AT4</f>
        <v>0</v>
      </c>
      <c r="L4" s="23" t="str">
        <f t="shared" si="1"/>
        <v/>
      </c>
      <c r="N4" s="524" t="s">
        <v>17</v>
      </c>
      <c r="O4" s="525">
        <f>zápis!$AU$31</f>
        <v>138.66363636363636</v>
      </c>
      <c r="P4" s="525">
        <f>SUM(O4*5)</f>
        <v>693.31818181818176</v>
      </c>
    </row>
    <row r="5" spans="1:17" s="7" customFormat="1" ht="15" customHeight="1">
      <c r="A5" s="365" t="s">
        <v>40</v>
      </c>
      <c r="B5" s="17" t="s">
        <v>45</v>
      </c>
      <c r="C5" s="15">
        <f>zápis!H3</f>
        <v>0</v>
      </c>
      <c r="D5" s="16">
        <f>zápis!N3</f>
        <v>0</v>
      </c>
      <c r="E5" s="16">
        <f>zápis!T3</f>
        <v>0</v>
      </c>
      <c r="F5" s="16">
        <f>zápis!Z3</f>
        <v>0</v>
      </c>
      <c r="G5" s="16">
        <f>zápis!AF3</f>
        <v>0</v>
      </c>
      <c r="H5" s="16">
        <f>zápis!AL3</f>
        <v>0</v>
      </c>
      <c r="I5" s="16">
        <f>zápis!AR3</f>
        <v>0</v>
      </c>
      <c r="J5" s="10">
        <f t="shared" si="0"/>
        <v>0</v>
      </c>
      <c r="K5" s="11">
        <f>zápis!AT3</f>
        <v>0</v>
      </c>
      <c r="L5" s="23" t="str">
        <f t="shared" si="1"/>
        <v/>
      </c>
      <c r="N5" s="522" t="s">
        <v>7</v>
      </c>
      <c r="O5" s="523">
        <f>zápis!$AU$121</f>
        <v>138.64571428571429</v>
      </c>
      <c r="P5" s="523">
        <f>SUM(O5*5)</f>
        <v>693.22857142857151</v>
      </c>
    </row>
    <row r="6" spans="1:17" s="7" customFormat="1" ht="15" customHeight="1">
      <c r="A6" s="365" t="s">
        <v>40</v>
      </c>
      <c r="B6" s="17" t="s">
        <v>71</v>
      </c>
      <c r="C6" s="15">
        <f>zápis!H6</f>
        <v>0</v>
      </c>
      <c r="D6" s="16">
        <f>zápis!N6</f>
        <v>0</v>
      </c>
      <c r="E6" s="16">
        <f>zápis!T6</f>
        <v>0</v>
      </c>
      <c r="F6" s="16">
        <f>zápis!Z6</f>
        <v>0</v>
      </c>
      <c r="G6" s="16">
        <f>zápis!AF6</f>
        <v>0</v>
      </c>
      <c r="H6" s="16">
        <f>zápis!AL6</f>
        <v>0</v>
      </c>
      <c r="I6" s="16">
        <f>zápis!AR6</f>
        <v>0</v>
      </c>
      <c r="J6" s="10">
        <f t="shared" si="0"/>
        <v>0</v>
      </c>
      <c r="K6" s="11">
        <f>zápis!AT6</f>
        <v>0</v>
      </c>
      <c r="L6" s="23" t="str">
        <f t="shared" si="1"/>
        <v/>
      </c>
      <c r="N6" s="526" t="s">
        <v>4</v>
      </c>
      <c r="O6" s="527">
        <f>zápis!$AU$74</f>
        <v>135.15142857142857</v>
      </c>
      <c r="P6" s="527">
        <f>SUM(O6*5)</f>
        <v>675.75714285714287</v>
      </c>
    </row>
    <row r="7" spans="1:17" s="7" customFormat="1" ht="15" customHeight="1">
      <c r="A7" s="119" t="s">
        <v>17</v>
      </c>
      <c r="B7" s="18" t="s">
        <v>2</v>
      </c>
      <c r="C7" s="15">
        <f>zápis!H10</f>
        <v>928</v>
      </c>
      <c r="D7" s="16">
        <f>zápis!N10</f>
        <v>905</v>
      </c>
      <c r="E7" s="16">
        <f>zápis!T10</f>
        <v>897</v>
      </c>
      <c r="F7" s="16">
        <f>zápis!Z10</f>
        <v>883</v>
      </c>
      <c r="G7" s="16">
        <f>zápis!AF10</f>
        <v>805</v>
      </c>
      <c r="H7" s="16">
        <f>zápis!AL10</f>
        <v>962</v>
      </c>
      <c r="I7" s="16">
        <f>zápis!AR10</f>
        <v>833</v>
      </c>
      <c r="J7" s="10">
        <f t="shared" si="0"/>
        <v>6213</v>
      </c>
      <c r="K7" s="11">
        <f>zápis!AT10</f>
        <v>35</v>
      </c>
      <c r="L7" s="23">
        <f t="shared" si="1"/>
        <v>177.51428571428571</v>
      </c>
      <c r="N7" s="528" t="s">
        <v>40</v>
      </c>
      <c r="O7" s="529"/>
      <c r="P7" s="529"/>
    </row>
    <row r="8" spans="1:17" s="7" customFormat="1" ht="15" customHeight="1">
      <c r="A8" s="119" t="s">
        <v>17</v>
      </c>
      <c r="B8" s="19" t="s">
        <v>59</v>
      </c>
      <c r="C8" s="15">
        <f>zápis!H19</f>
        <v>847</v>
      </c>
      <c r="D8" s="16">
        <f>zápis!N19</f>
        <v>945</v>
      </c>
      <c r="E8" s="16">
        <f>zápis!T19</f>
        <v>831</v>
      </c>
      <c r="F8" s="16">
        <f>zápis!Z19</f>
        <v>0</v>
      </c>
      <c r="G8" s="16">
        <f>zápis!AF19</f>
        <v>794</v>
      </c>
      <c r="H8" s="16">
        <f>zápis!AL19</f>
        <v>901</v>
      </c>
      <c r="I8" s="16">
        <f>zápis!AR19</f>
        <v>863</v>
      </c>
      <c r="J8" s="10">
        <f t="shared" si="0"/>
        <v>5181</v>
      </c>
      <c r="K8" s="11">
        <f>zápis!AT19</f>
        <v>30</v>
      </c>
      <c r="L8" s="23">
        <f t="shared" si="1"/>
        <v>172.7</v>
      </c>
    </row>
    <row r="9" spans="1:17" s="7" customFormat="1" ht="15" customHeight="1">
      <c r="A9" s="119" t="s">
        <v>17</v>
      </c>
      <c r="B9" s="18" t="s">
        <v>16</v>
      </c>
      <c r="C9" s="15">
        <f>zápis!H12</f>
        <v>727</v>
      </c>
      <c r="D9" s="16">
        <f>zápis!N12</f>
        <v>719</v>
      </c>
      <c r="E9" s="16">
        <f>zápis!T12</f>
        <v>770</v>
      </c>
      <c r="F9" s="16">
        <f>zápis!Z12</f>
        <v>666</v>
      </c>
      <c r="G9" s="16">
        <f>zápis!AF12</f>
        <v>782</v>
      </c>
      <c r="H9" s="16">
        <f>zápis!AL12</f>
        <v>775</v>
      </c>
      <c r="I9" s="16">
        <f>zápis!AR12</f>
        <v>816</v>
      </c>
      <c r="J9" s="10">
        <f t="shared" si="0"/>
        <v>5255</v>
      </c>
      <c r="K9" s="11">
        <f>zápis!AT12</f>
        <v>35</v>
      </c>
      <c r="L9" s="23">
        <f t="shared" si="1"/>
        <v>150.14285714285714</v>
      </c>
      <c r="M9" s="7" t="s">
        <v>20</v>
      </c>
    </row>
    <row r="10" spans="1:17" s="7" customFormat="1" ht="15" customHeight="1">
      <c r="A10" s="119" t="s">
        <v>17</v>
      </c>
      <c r="B10" s="19" t="s">
        <v>97</v>
      </c>
      <c r="C10" s="15">
        <f>zápis!H28</f>
        <v>744</v>
      </c>
      <c r="D10" s="16">
        <f>zápis!N28</f>
        <v>0</v>
      </c>
      <c r="E10" s="16">
        <f>zápis!T28</f>
        <v>0</v>
      </c>
      <c r="F10" s="16">
        <f>zápis!Z28</f>
        <v>0</v>
      </c>
      <c r="G10" s="16">
        <f>zápis!AF28</f>
        <v>717</v>
      </c>
      <c r="H10" s="16">
        <f>zápis!AL28</f>
        <v>664</v>
      </c>
      <c r="I10" s="16">
        <f>zápis!AR28</f>
        <v>792</v>
      </c>
      <c r="J10" s="10">
        <f t="shared" si="0"/>
        <v>2917</v>
      </c>
      <c r="K10" s="11">
        <f>zápis!AT28</f>
        <v>20</v>
      </c>
      <c r="L10" s="23">
        <f t="shared" si="1"/>
        <v>145.85</v>
      </c>
    </row>
    <row r="11" spans="1:17" s="7" customFormat="1" ht="15" customHeight="1">
      <c r="A11" s="119" t="s">
        <v>17</v>
      </c>
      <c r="B11" s="19" t="s">
        <v>220</v>
      </c>
      <c r="C11" s="15">
        <f>zápis!H24</f>
        <v>0</v>
      </c>
      <c r="D11" s="16">
        <f>zápis!N24</f>
        <v>689</v>
      </c>
      <c r="E11" s="16">
        <f>zápis!T24</f>
        <v>767</v>
      </c>
      <c r="F11" s="16">
        <f>zápis!Z24</f>
        <v>703</v>
      </c>
      <c r="G11" s="16">
        <f>zápis!AF24</f>
        <v>0</v>
      </c>
      <c r="H11" s="16">
        <f>zápis!AL24</f>
        <v>730</v>
      </c>
      <c r="I11" s="16">
        <f>zápis!AR24</f>
        <v>729</v>
      </c>
      <c r="J11" s="10">
        <f t="shared" si="0"/>
        <v>3618</v>
      </c>
      <c r="K11" s="11">
        <f>zápis!AT24</f>
        <v>25</v>
      </c>
      <c r="L11" s="23">
        <f t="shared" si="1"/>
        <v>144.72</v>
      </c>
    </row>
    <row r="12" spans="1:17" s="7" customFormat="1" ht="15" customHeight="1">
      <c r="A12" s="119" t="s">
        <v>17</v>
      </c>
      <c r="B12" s="18" t="s">
        <v>21</v>
      </c>
      <c r="C12" s="15">
        <f>zápis!H13</f>
        <v>702</v>
      </c>
      <c r="D12" s="16">
        <f>zápis!N13</f>
        <v>768</v>
      </c>
      <c r="E12" s="16">
        <f>zápis!T13</f>
        <v>631</v>
      </c>
      <c r="F12" s="16">
        <f>zápis!Z13</f>
        <v>754</v>
      </c>
      <c r="G12" s="16">
        <f>zápis!AF13</f>
        <v>701</v>
      </c>
      <c r="H12" s="16">
        <f>zápis!AL13</f>
        <v>642</v>
      </c>
      <c r="I12" s="16">
        <f>zápis!AR13</f>
        <v>717</v>
      </c>
      <c r="J12" s="10">
        <f t="shared" si="0"/>
        <v>4915</v>
      </c>
      <c r="K12" s="11">
        <f>zápis!AT13</f>
        <v>35</v>
      </c>
      <c r="L12" s="23">
        <f t="shared" si="1"/>
        <v>140.42857142857142</v>
      </c>
    </row>
    <row r="13" spans="1:17" s="7" customFormat="1" ht="15" customHeight="1">
      <c r="A13" s="119" t="s">
        <v>17</v>
      </c>
      <c r="B13" s="18" t="s">
        <v>32</v>
      </c>
      <c r="C13" s="15">
        <f>zápis!H15</f>
        <v>637</v>
      </c>
      <c r="D13" s="16">
        <f>zápis!N15</f>
        <v>632</v>
      </c>
      <c r="E13" s="16">
        <f>zápis!T15</f>
        <v>0</v>
      </c>
      <c r="F13" s="16">
        <f>zápis!Z15</f>
        <v>0</v>
      </c>
      <c r="G13" s="16">
        <f>zápis!AF15</f>
        <v>834</v>
      </c>
      <c r="H13" s="16">
        <f>zápis!AL15</f>
        <v>633</v>
      </c>
      <c r="I13" s="16">
        <f>zápis!AR15</f>
        <v>668</v>
      </c>
      <c r="J13" s="10">
        <f t="shared" si="0"/>
        <v>3404</v>
      </c>
      <c r="K13" s="11">
        <f>zápis!AT15</f>
        <v>25</v>
      </c>
      <c r="L13" s="23">
        <f t="shared" si="1"/>
        <v>136.16</v>
      </c>
    </row>
    <row r="14" spans="1:17" s="7" customFormat="1" ht="15" customHeight="1">
      <c r="A14" s="119" t="s">
        <v>17</v>
      </c>
      <c r="B14" s="19" t="s">
        <v>123</v>
      </c>
      <c r="C14" s="15">
        <f>zápis!H26</f>
        <v>616</v>
      </c>
      <c r="D14" s="16">
        <f>zápis!N26</f>
        <v>708</v>
      </c>
      <c r="E14" s="16">
        <f>zápis!T26</f>
        <v>593</v>
      </c>
      <c r="F14" s="16">
        <f>zápis!Z26</f>
        <v>632</v>
      </c>
      <c r="G14" s="16">
        <f>zápis!AF26</f>
        <v>683</v>
      </c>
      <c r="H14" s="16">
        <f>zápis!AL26</f>
        <v>631</v>
      </c>
      <c r="I14" s="16">
        <f>zápis!AR26</f>
        <v>652</v>
      </c>
      <c r="J14" s="10">
        <f t="shared" si="0"/>
        <v>4515</v>
      </c>
      <c r="K14" s="11">
        <f>zápis!AT26</f>
        <v>35</v>
      </c>
      <c r="L14" s="23">
        <f t="shared" si="1"/>
        <v>129</v>
      </c>
    </row>
    <row r="15" spans="1:17" s="7" customFormat="1" ht="15" customHeight="1">
      <c r="A15" s="119" t="s">
        <v>17</v>
      </c>
      <c r="B15" s="19" t="s">
        <v>73</v>
      </c>
      <c r="C15" s="15">
        <f>zápis!H20</f>
        <v>0</v>
      </c>
      <c r="D15" s="16">
        <f>zápis!N20</f>
        <v>598</v>
      </c>
      <c r="E15" s="16">
        <f>zápis!T20</f>
        <v>669</v>
      </c>
      <c r="F15" s="16">
        <f>zápis!Z20</f>
        <v>0</v>
      </c>
      <c r="G15" s="16">
        <f>zápis!AF20</f>
        <v>704</v>
      </c>
      <c r="H15" s="16">
        <f>zápis!AL20</f>
        <v>0</v>
      </c>
      <c r="I15" s="16">
        <f>zápis!AR20</f>
        <v>551</v>
      </c>
      <c r="J15" s="10">
        <f t="shared" si="0"/>
        <v>2522</v>
      </c>
      <c r="K15" s="11">
        <f>zápis!AT20</f>
        <v>20</v>
      </c>
      <c r="L15" s="23">
        <f t="shared" si="1"/>
        <v>126.1</v>
      </c>
    </row>
    <row r="16" spans="1:17" s="7" customFormat="1" ht="15" customHeight="1">
      <c r="A16" s="119" t="s">
        <v>17</v>
      </c>
      <c r="B16" s="19" t="s">
        <v>118</v>
      </c>
      <c r="C16" s="15">
        <f>zápis!H25</f>
        <v>571</v>
      </c>
      <c r="D16" s="16">
        <f>zápis!N25</f>
        <v>0</v>
      </c>
      <c r="E16" s="16">
        <f>zápis!T25</f>
        <v>529</v>
      </c>
      <c r="F16" s="16">
        <f>zápis!Z25</f>
        <v>558</v>
      </c>
      <c r="G16" s="16">
        <f>zápis!AF25</f>
        <v>681</v>
      </c>
      <c r="H16" s="16">
        <f>zápis!AL25</f>
        <v>695</v>
      </c>
      <c r="I16" s="16">
        <f>zápis!AR25</f>
        <v>672</v>
      </c>
      <c r="J16" s="10">
        <f t="shared" si="0"/>
        <v>3706</v>
      </c>
      <c r="K16" s="11">
        <f>zápis!AT25</f>
        <v>30</v>
      </c>
      <c r="L16" s="23">
        <f t="shared" si="1"/>
        <v>123.53333333333333</v>
      </c>
    </row>
    <row r="17" spans="1:16" s="7" customFormat="1" ht="15" customHeight="1">
      <c r="A17" s="119" t="s">
        <v>17</v>
      </c>
      <c r="B17" s="148" t="s">
        <v>15</v>
      </c>
      <c r="C17" s="15">
        <f>zápis!H17</f>
        <v>577</v>
      </c>
      <c r="D17" s="16">
        <f>zápis!N17</f>
        <v>0</v>
      </c>
      <c r="E17" s="16">
        <f>zápis!T17</f>
        <v>564</v>
      </c>
      <c r="F17" s="16">
        <f>zápis!Z17</f>
        <v>631</v>
      </c>
      <c r="G17" s="16">
        <f>zápis!AF17</f>
        <v>561</v>
      </c>
      <c r="H17" s="16">
        <f>zápis!AL17</f>
        <v>585</v>
      </c>
      <c r="I17" s="16">
        <f>zápis!AR17</f>
        <v>0</v>
      </c>
      <c r="J17" s="10">
        <f t="shared" si="0"/>
        <v>2918</v>
      </c>
      <c r="K17" s="11">
        <f>zápis!AT17</f>
        <v>25</v>
      </c>
      <c r="L17" s="23">
        <f t="shared" si="1"/>
        <v>116.72</v>
      </c>
    </row>
    <row r="18" spans="1:16" s="7" customFormat="1" ht="15" customHeight="1">
      <c r="A18" s="119" t="s">
        <v>17</v>
      </c>
      <c r="B18" s="119" t="s">
        <v>101</v>
      </c>
      <c r="C18" s="15">
        <f>zápis!H23</f>
        <v>496</v>
      </c>
      <c r="D18" s="16">
        <f>zápis!N23</f>
        <v>498</v>
      </c>
      <c r="E18" s="16">
        <f>zápis!T23</f>
        <v>0</v>
      </c>
      <c r="F18" s="16">
        <f>zápis!Z23</f>
        <v>533</v>
      </c>
      <c r="G18" s="16">
        <f>zápis!AF23</f>
        <v>0</v>
      </c>
      <c r="H18" s="16">
        <f>zápis!AL23</f>
        <v>0</v>
      </c>
      <c r="I18" s="16">
        <f>zápis!AR23</f>
        <v>0</v>
      </c>
      <c r="J18" s="10">
        <f t="shared" si="0"/>
        <v>1527</v>
      </c>
      <c r="K18" s="11">
        <f>zápis!AT23</f>
        <v>15</v>
      </c>
      <c r="L18" s="23">
        <f t="shared" si="1"/>
        <v>101.8</v>
      </c>
    </row>
    <row r="19" spans="1:16" s="7" customFormat="1" ht="15" customHeight="1">
      <c r="A19" s="119" t="s">
        <v>17</v>
      </c>
      <c r="B19" s="19" t="s">
        <v>91</v>
      </c>
      <c r="C19" s="15">
        <f>zápis!H27</f>
        <v>0</v>
      </c>
      <c r="D19" s="16">
        <f>zápis!N27</f>
        <v>504</v>
      </c>
      <c r="E19" s="16">
        <f>zápis!T27</f>
        <v>0</v>
      </c>
      <c r="F19" s="16">
        <f>zápis!Z27</f>
        <v>511</v>
      </c>
      <c r="G19" s="16">
        <f>zápis!AF27</f>
        <v>0</v>
      </c>
      <c r="H19" s="16">
        <f>zápis!AL27</f>
        <v>0</v>
      </c>
      <c r="I19" s="16">
        <f>zápis!AR27</f>
        <v>0</v>
      </c>
      <c r="J19" s="10">
        <f t="shared" si="0"/>
        <v>1015</v>
      </c>
      <c r="K19" s="11">
        <f>zápis!AT27</f>
        <v>10</v>
      </c>
      <c r="L19" s="23">
        <f t="shared" si="1"/>
        <v>101.5</v>
      </c>
    </row>
    <row r="20" spans="1:16" s="7" customFormat="1" ht="15" customHeight="1">
      <c r="A20" s="119" t="s">
        <v>17</v>
      </c>
      <c r="B20" s="148" t="s">
        <v>69</v>
      </c>
      <c r="C20" s="15">
        <f>zápis!H16</f>
        <v>0</v>
      </c>
      <c r="D20" s="16">
        <f>zápis!N16</f>
        <v>0</v>
      </c>
      <c r="E20" s="16">
        <f>zápis!T16</f>
        <v>480</v>
      </c>
      <c r="F20" s="16">
        <f>zápis!Z16</f>
        <v>490</v>
      </c>
      <c r="G20" s="16">
        <f>zápis!AF16</f>
        <v>0</v>
      </c>
      <c r="H20" s="16">
        <f>zápis!AL16</f>
        <v>0</v>
      </c>
      <c r="I20" s="16">
        <f>zápis!AR16</f>
        <v>0</v>
      </c>
      <c r="J20" s="10">
        <f t="shared" si="0"/>
        <v>970</v>
      </c>
      <c r="K20" s="11">
        <f>zápis!AT16</f>
        <v>10</v>
      </c>
      <c r="L20" s="23">
        <f t="shared" si="1"/>
        <v>97</v>
      </c>
    </row>
    <row r="21" spans="1:16" s="7" customFormat="1" ht="15" customHeight="1">
      <c r="A21" s="119" t="s">
        <v>17</v>
      </c>
      <c r="B21" s="18" t="s">
        <v>33</v>
      </c>
      <c r="C21" s="15">
        <f>zápis!H14</f>
        <v>0</v>
      </c>
      <c r="D21" s="16">
        <f>zápis!N14</f>
        <v>0</v>
      </c>
      <c r="E21" s="16">
        <f>zápis!T14</f>
        <v>0</v>
      </c>
      <c r="F21" s="16">
        <f>zápis!Z14</f>
        <v>0</v>
      </c>
      <c r="G21" s="16">
        <f>zápis!AF14</f>
        <v>0</v>
      </c>
      <c r="H21" s="16">
        <f>zápis!AL14</f>
        <v>0</v>
      </c>
      <c r="I21" s="16">
        <f>zápis!AR14</f>
        <v>0</v>
      </c>
      <c r="J21" s="10"/>
      <c r="K21" s="11"/>
      <c r="L21" s="23"/>
    </row>
    <row r="22" spans="1:16" s="7" customFormat="1" ht="15" customHeight="1">
      <c r="A22" s="119" t="s">
        <v>17</v>
      </c>
      <c r="B22" s="19" t="s">
        <v>114</v>
      </c>
      <c r="C22" s="15">
        <f>zápis!H21</f>
        <v>0</v>
      </c>
      <c r="D22" s="16">
        <f>zápis!N21</f>
        <v>0</v>
      </c>
      <c r="E22" s="16">
        <f>zápis!T21</f>
        <v>0</v>
      </c>
      <c r="F22" s="16">
        <f>zápis!Z21</f>
        <v>0</v>
      </c>
      <c r="G22" s="16">
        <f>zápis!AF21</f>
        <v>0</v>
      </c>
      <c r="H22" s="16">
        <f>zápis!AL21</f>
        <v>0</v>
      </c>
      <c r="I22" s="16">
        <f>zápis!AR21</f>
        <v>0</v>
      </c>
      <c r="J22" s="10"/>
      <c r="K22" s="11"/>
      <c r="L22" s="23"/>
    </row>
    <row r="23" spans="1:16" s="7" customFormat="1" ht="15" customHeight="1">
      <c r="A23" s="119" t="s">
        <v>17</v>
      </c>
      <c r="B23" s="18" t="s">
        <v>12</v>
      </c>
      <c r="C23" s="15">
        <f>zápis!H11</f>
        <v>0</v>
      </c>
      <c r="D23" s="16">
        <f>zápis!N11</f>
        <v>0</v>
      </c>
      <c r="E23" s="16">
        <f>zápis!T11</f>
        <v>0</v>
      </c>
      <c r="F23" s="16">
        <f>zápis!Z11</f>
        <v>0</v>
      </c>
      <c r="G23" s="16">
        <f>zápis!AF11</f>
        <v>0</v>
      </c>
      <c r="H23" s="16">
        <f>zápis!AL11</f>
        <v>0</v>
      </c>
      <c r="I23" s="16">
        <f>zápis!AR11</f>
        <v>0</v>
      </c>
      <c r="J23" s="10"/>
      <c r="K23" s="11"/>
      <c r="L23" s="23"/>
    </row>
    <row r="24" spans="1:16" s="7" customFormat="1" ht="15" customHeight="1">
      <c r="A24" s="366" t="s">
        <v>6</v>
      </c>
      <c r="B24" s="253" t="s">
        <v>242</v>
      </c>
      <c r="C24" s="15">
        <f>zápis!H42</f>
        <v>0</v>
      </c>
      <c r="D24" s="16">
        <f>zápis!N42</f>
        <v>0</v>
      </c>
      <c r="E24" s="16">
        <f>zápis!T42</f>
        <v>846</v>
      </c>
      <c r="F24" s="16">
        <f>zápis!Z42</f>
        <v>0</v>
      </c>
      <c r="G24" s="16">
        <f>zápis!AF42</f>
        <v>0</v>
      </c>
      <c r="H24" s="16">
        <f>zápis!AL42</f>
        <v>0</v>
      </c>
      <c r="I24" s="16">
        <f>zápis!AR42</f>
        <v>0</v>
      </c>
      <c r="J24" s="10">
        <f t="shared" ref="J24:J59" si="2">SUM(C24:I24)</f>
        <v>846</v>
      </c>
      <c r="K24" s="11">
        <f>zápis!AT42</f>
        <v>5</v>
      </c>
      <c r="L24" s="23">
        <f t="shared" ref="L24:L59" si="3">IF(K24=0,"",J24/K24)</f>
        <v>169.2</v>
      </c>
    </row>
    <row r="25" spans="1:16" s="7" customFormat="1" ht="15" customHeight="1">
      <c r="A25" s="366" t="s">
        <v>6</v>
      </c>
      <c r="B25" s="112" t="s">
        <v>82</v>
      </c>
      <c r="C25" s="15">
        <f>zápis!H44</f>
        <v>796</v>
      </c>
      <c r="D25" s="16">
        <f>zápis!N44</f>
        <v>815</v>
      </c>
      <c r="E25" s="16">
        <f>zápis!T44</f>
        <v>895</v>
      </c>
      <c r="F25" s="16">
        <f>zápis!Z44</f>
        <v>664</v>
      </c>
      <c r="G25" s="16">
        <f>zápis!AF44</f>
        <v>858</v>
      </c>
      <c r="H25" s="16">
        <f>zápis!AL44</f>
        <v>863</v>
      </c>
      <c r="I25" s="16">
        <f>zápis!AR44</f>
        <v>809</v>
      </c>
      <c r="J25" s="10">
        <f t="shared" si="2"/>
        <v>5700</v>
      </c>
      <c r="K25" s="11">
        <f>zápis!AT44</f>
        <v>35</v>
      </c>
      <c r="L25" s="23">
        <f t="shared" si="3"/>
        <v>162.85714285714286</v>
      </c>
    </row>
    <row r="26" spans="1:16" s="7" customFormat="1" ht="15" customHeight="1">
      <c r="A26" s="366" t="s">
        <v>6</v>
      </c>
      <c r="B26" s="541" t="s">
        <v>9</v>
      </c>
      <c r="C26" s="15">
        <f>zápis!H36</f>
        <v>895</v>
      </c>
      <c r="D26" s="16">
        <f>zápis!N36</f>
        <v>826</v>
      </c>
      <c r="E26" s="16">
        <f>zápis!T36</f>
        <v>859</v>
      </c>
      <c r="F26" s="16">
        <f>zápis!Z36</f>
        <v>854</v>
      </c>
      <c r="G26" s="16">
        <f>zápis!AF36</f>
        <v>0</v>
      </c>
      <c r="H26" s="16">
        <f>zápis!AL36</f>
        <v>657</v>
      </c>
      <c r="I26" s="16">
        <f>zápis!AR36</f>
        <v>669</v>
      </c>
      <c r="J26" s="10">
        <f t="shared" si="2"/>
        <v>4760</v>
      </c>
      <c r="K26" s="11">
        <f>zápis!AT36</f>
        <v>30</v>
      </c>
      <c r="L26" s="23">
        <f t="shared" si="3"/>
        <v>158.66666666666666</v>
      </c>
      <c r="P26" s="7" t="s">
        <v>20</v>
      </c>
    </row>
    <row r="27" spans="1:16" s="7" customFormat="1" ht="15" customHeight="1">
      <c r="A27" s="366" t="s">
        <v>6</v>
      </c>
      <c r="B27" s="86" t="s">
        <v>5</v>
      </c>
      <c r="C27" s="15">
        <f>zápis!H33</f>
        <v>752</v>
      </c>
      <c r="D27" s="16">
        <f>zápis!N33</f>
        <v>860</v>
      </c>
      <c r="E27" s="16">
        <f>zápis!T33</f>
        <v>705</v>
      </c>
      <c r="F27" s="16">
        <f>zápis!Z33</f>
        <v>842</v>
      </c>
      <c r="G27" s="16">
        <f>zápis!AF33</f>
        <v>683</v>
      </c>
      <c r="H27" s="16">
        <f>zápis!AL33</f>
        <v>762</v>
      </c>
      <c r="I27" s="16">
        <f>zápis!AR33</f>
        <v>810</v>
      </c>
      <c r="J27" s="10">
        <f t="shared" si="2"/>
        <v>5414</v>
      </c>
      <c r="K27" s="11">
        <f>zápis!AT33</f>
        <v>35</v>
      </c>
      <c r="L27" s="23">
        <f t="shared" si="3"/>
        <v>154.68571428571428</v>
      </c>
    </row>
    <row r="28" spans="1:16" s="7" customFormat="1" ht="15" customHeight="1">
      <c r="A28" s="366" t="s">
        <v>6</v>
      </c>
      <c r="B28" s="128" t="s">
        <v>10</v>
      </c>
      <c r="C28" s="15">
        <f>zápis!H35</f>
        <v>825</v>
      </c>
      <c r="D28" s="16">
        <f>zápis!N35</f>
        <v>728</v>
      </c>
      <c r="E28" s="16">
        <f>zápis!T35</f>
        <v>733</v>
      </c>
      <c r="F28" s="16">
        <f>zápis!Z35</f>
        <v>723</v>
      </c>
      <c r="G28" s="16">
        <f>zápis!AF35</f>
        <v>725</v>
      </c>
      <c r="H28" s="16">
        <f>zápis!AL35</f>
        <v>0</v>
      </c>
      <c r="I28" s="16">
        <f>zápis!AR35</f>
        <v>0</v>
      </c>
      <c r="J28" s="10">
        <f t="shared" si="2"/>
        <v>3734</v>
      </c>
      <c r="K28" s="11">
        <f>zápis!AT35</f>
        <v>25</v>
      </c>
      <c r="L28" s="23">
        <f t="shared" si="3"/>
        <v>149.36000000000001</v>
      </c>
    </row>
    <row r="29" spans="1:16" s="7" customFormat="1" ht="15" customHeight="1">
      <c r="A29" s="366" t="s">
        <v>6</v>
      </c>
      <c r="B29" s="86" t="s">
        <v>36</v>
      </c>
      <c r="C29" s="15">
        <f>zápis!H37</f>
        <v>737</v>
      </c>
      <c r="D29" s="16">
        <f>zápis!N37</f>
        <v>0</v>
      </c>
      <c r="E29" s="16">
        <f>zápis!T37</f>
        <v>0</v>
      </c>
      <c r="F29" s="16">
        <f>zápis!Z37</f>
        <v>725</v>
      </c>
      <c r="G29" s="16">
        <f>zápis!AF37</f>
        <v>703</v>
      </c>
      <c r="H29" s="16">
        <f>zápis!AL37</f>
        <v>677</v>
      </c>
      <c r="I29" s="16">
        <f>zápis!AR37</f>
        <v>803</v>
      </c>
      <c r="J29" s="10">
        <f t="shared" si="2"/>
        <v>3645</v>
      </c>
      <c r="K29" s="11">
        <f>zápis!AT37</f>
        <v>25</v>
      </c>
      <c r="L29" s="23">
        <f t="shared" si="3"/>
        <v>145.80000000000001</v>
      </c>
    </row>
    <row r="30" spans="1:16" s="7" customFormat="1" ht="15" customHeight="1">
      <c r="A30" s="366" t="s">
        <v>6</v>
      </c>
      <c r="B30" s="87" t="s">
        <v>81</v>
      </c>
      <c r="C30" s="15">
        <f>zápis!H45</f>
        <v>718</v>
      </c>
      <c r="D30" s="16">
        <f>zápis!N45</f>
        <v>686</v>
      </c>
      <c r="E30" s="16">
        <f>zápis!T45</f>
        <v>684</v>
      </c>
      <c r="F30" s="16">
        <f>zápis!Z45</f>
        <v>688</v>
      </c>
      <c r="G30" s="16">
        <f>zápis!AF45</f>
        <v>717</v>
      </c>
      <c r="H30" s="16">
        <f>zápis!AL45</f>
        <v>685</v>
      </c>
      <c r="I30" s="16">
        <f>zápis!AR45</f>
        <v>675</v>
      </c>
      <c r="J30" s="10">
        <f t="shared" si="2"/>
        <v>4853</v>
      </c>
      <c r="K30" s="11">
        <f>zápis!AT45</f>
        <v>35</v>
      </c>
      <c r="L30" s="23">
        <f t="shared" si="3"/>
        <v>138.65714285714284</v>
      </c>
    </row>
    <row r="31" spans="1:16" s="7" customFormat="1" ht="15" customHeight="1">
      <c r="A31" s="366" t="s">
        <v>6</v>
      </c>
      <c r="B31" s="87" t="s">
        <v>37</v>
      </c>
      <c r="C31" s="15">
        <f>zápis!H38</f>
        <v>636</v>
      </c>
      <c r="D31" s="16">
        <f>zápis!N38</f>
        <v>766</v>
      </c>
      <c r="E31" s="16">
        <f>zápis!T38</f>
        <v>672</v>
      </c>
      <c r="F31" s="16">
        <f>zápis!Z38</f>
        <v>785</v>
      </c>
      <c r="G31" s="16">
        <f>zápis!AF38</f>
        <v>669</v>
      </c>
      <c r="H31" s="16">
        <f>zápis!AL38</f>
        <v>0</v>
      </c>
      <c r="I31" s="16">
        <f>zápis!AR38</f>
        <v>631</v>
      </c>
      <c r="J31" s="10">
        <f t="shared" si="2"/>
        <v>4159</v>
      </c>
      <c r="K31" s="11">
        <f>zápis!AT38</f>
        <v>30</v>
      </c>
      <c r="L31" s="23">
        <f t="shared" si="3"/>
        <v>138.63333333333333</v>
      </c>
    </row>
    <row r="32" spans="1:16" s="7" customFormat="1" ht="15" customHeight="1">
      <c r="A32" s="366" t="s">
        <v>6</v>
      </c>
      <c r="B32" s="86" t="s">
        <v>70</v>
      </c>
      <c r="C32" s="15">
        <f>zápis!H34</f>
        <v>657</v>
      </c>
      <c r="D32" s="16">
        <f>zápis!N34</f>
        <v>693</v>
      </c>
      <c r="E32" s="16">
        <f>zápis!T34</f>
        <v>742</v>
      </c>
      <c r="F32" s="16">
        <f>zápis!Z34</f>
        <v>666</v>
      </c>
      <c r="G32" s="16">
        <f>zápis!AF34</f>
        <v>0</v>
      </c>
      <c r="H32" s="16">
        <f>zápis!AL34</f>
        <v>723</v>
      </c>
      <c r="I32" s="16">
        <f>zápis!AR34</f>
        <v>625</v>
      </c>
      <c r="J32" s="10">
        <f t="shared" si="2"/>
        <v>4106</v>
      </c>
      <c r="K32" s="11">
        <f>zápis!AT34</f>
        <v>30</v>
      </c>
      <c r="L32" s="23">
        <f t="shared" si="3"/>
        <v>136.86666666666667</v>
      </c>
    </row>
    <row r="33" spans="1:12" s="7" customFormat="1" ht="15" customHeight="1">
      <c r="A33" s="366" t="s">
        <v>6</v>
      </c>
      <c r="B33" s="86" t="s">
        <v>290</v>
      </c>
      <c r="C33" s="15">
        <f>zápis!H39</f>
        <v>0</v>
      </c>
      <c r="D33" s="16">
        <f>zápis!N39</f>
        <v>0</v>
      </c>
      <c r="E33" s="16">
        <f>zápis!T39</f>
        <v>0</v>
      </c>
      <c r="F33" s="16">
        <f>zápis!Z39</f>
        <v>0</v>
      </c>
      <c r="G33" s="16">
        <f>zápis!AF39</f>
        <v>721</v>
      </c>
      <c r="H33" s="16">
        <f>zápis!AL39</f>
        <v>674</v>
      </c>
      <c r="I33" s="16">
        <f>zápis!AR39</f>
        <v>649</v>
      </c>
      <c r="J33" s="10">
        <f t="shared" si="2"/>
        <v>2044</v>
      </c>
      <c r="K33" s="11">
        <f>zápis!AT39</f>
        <v>15</v>
      </c>
      <c r="L33" s="23">
        <f t="shared" si="3"/>
        <v>136.26666666666668</v>
      </c>
    </row>
    <row r="34" spans="1:12" s="7" customFormat="1" ht="15" customHeight="1">
      <c r="A34" s="366" t="s">
        <v>6</v>
      </c>
      <c r="B34" s="87" t="s">
        <v>18</v>
      </c>
      <c r="C34" s="15">
        <f>zápis!H40</f>
        <v>614</v>
      </c>
      <c r="D34" s="16">
        <f>zápis!N40</f>
        <v>618</v>
      </c>
      <c r="E34" s="16">
        <f>zápis!T40</f>
        <v>683</v>
      </c>
      <c r="F34" s="16">
        <f>zápis!Z40</f>
        <v>753</v>
      </c>
      <c r="G34" s="16">
        <f>zápis!AF40</f>
        <v>718</v>
      </c>
      <c r="H34" s="16">
        <f>zápis!AL40</f>
        <v>691</v>
      </c>
      <c r="I34" s="16">
        <f>zápis!AR40</f>
        <v>681</v>
      </c>
      <c r="J34" s="10">
        <f t="shared" si="2"/>
        <v>4758</v>
      </c>
      <c r="K34" s="11">
        <f>zápis!AT40</f>
        <v>35</v>
      </c>
      <c r="L34" s="23">
        <f t="shared" si="3"/>
        <v>135.94285714285715</v>
      </c>
    </row>
    <row r="35" spans="1:12" s="7" customFormat="1" ht="15" customHeight="1">
      <c r="A35" s="366" t="s">
        <v>6</v>
      </c>
      <c r="B35" s="87" t="s">
        <v>221</v>
      </c>
      <c r="C35" s="15">
        <f>zápis!H41</f>
        <v>0</v>
      </c>
      <c r="D35" s="16">
        <f>zápis!N41</f>
        <v>625</v>
      </c>
      <c r="E35" s="16">
        <f>zápis!T41</f>
        <v>0</v>
      </c>
      <c r="F35" s="16">
        <f>zápis!Z41</f>
        <v>0</v>
      </c>
      <c r="G35" s="16">
        <f>zápis!AF41</f>
        <v>0</v>
      </c>
      <c r="H35" s="16">
        <f>zápis!AL41</f>
        <v>0</v>
      </c>
      <c r="I35" s="16">
        <f>zápis!AR41</f>
        <v>0</v>
      </c>
      <c r="J35" s="10">
        <f t="shared" si="2"/>
        <v>625</v>
      </c>
      <c r="K35" s="11">
        <f>zápis!AT41</f>
        <v>5</v>
      </c>
      <c r="L35" s="23">
        <f t="shared" si="3"/>
        <v>125</v>
      </c>
    </row>
    <row r="36" spans="1:12" s="7" customFormat="1" ht="15" customHeight="1">
      <c r="A36" s="366" t="s">
        <v>6</v>
      </c>
      <c r="B36" s="87" t="s">
        <v>99</v>
      </c>
      <c r="C36" s="15">
        <f>zápis!H43</f>
        <v>473</v>
      </c>
      <c r="D36" s="16">
        <f>zápis!N43</f>
        <v>611</v>
      </c>
      <c r="E36" s="16">
        <f>zápis!T43</f>
        <v>599</v>
      </c>
      <c r="F36" s="16">
        <f>zápis!Z43</f>
        <v>682</v>
      </c>
      <c r="G36" s="16">
        <f>zápis!AF43</f>
        <v>676</v>
      </c>
      <c r="H36" s="16">
        <f>zápis!AL43</f>
        <v>627</v>
      </c>
      <c r="I36" s="16">
        <f>zápis!AR43</f>
        <v>615</v>
      </c>
      <c r="J36" s="10">
        <f t="shared" si="2"/>
        <v>4283</v>
      </c>
      <c r="K36" s="11">
        <f>zápis!AT43</f>
        <v>35</v>
      </c>
      <c r="L36" s="23">
        <f t="shared" si="3"/>
        <v>122.37142857142857</v>
      </c>
    </row>
    <row r="37" spans="1:12" s="7" customFormat="1" ht="15" customHeight="1">
      <c r="A37" s="366" t="s">
        <v>6</v>
      </c>
      <c r="B37" s="86" t="s">
        <v>291</v>
      </c>
      <c r="C37" s="15"/>
      <c r="D37" s="16"/>
      <c r="E37" s="16"/>
      <c r="F37" s="16"/>
      <c r="G37" s="16">
        <f>zápis!AF46</f>
        <v>557</v>
      </c>
      <c r="H37" s="16">
        <f>zápis!AL46</f>
        <v>627</v>
      </c>
      <c r="I37" s="16">
        <f>zápis!AM46</f>
        <v>0</v>
      </c>
      <c r="J37" s="10">
        <f t="shared" si="2"/>
        <v>1184</v>
      </c>
      <c r="K37" s="11">
        <f>zápis!AT46</f>
        <v>10</v>
      </c>
      <c r="L37" s="23">
        <f t="shared" si="3"/>
        <v>118.4</v>
      </c>
    </row>
    <row r="38" spans="1:12" s="7" customFormat="1" ht="15" customHeight="1">
      <c r="A38" s="367" t="s">
        <v>4</v>
      </c>
      <c r="B38" s="22" t="s">
        <v>66</v>
      </c>
      <c r="C38" s="15">
        <f>zápis!H53</f>
        <v>860</v>
      </c>
      <c r="D38" s="16">
        <f>zápis!N53</f>
        <v>833</v>
      </c>
      <c r="E38" s="16">
        <f>zápis!T53</f>
        <v>793</v>
      </c>
      <c r="F38" s="16">
        <f>zápis!Z53</f>
        <v>0</v>
      </c>
      <c r="G38" s="16">
        <f>zápis!AF53</f>
        <v>0</v>
      </c>
      <c r="H38" s="16">
        <f>zápis!AL53</f>
        <v>814</v>
      </c>
      <c r="I38" s="16">
        <f>zápis!AR53</f>
        <v>888</v>
      </c>
      <c r="J38" s="10">
        <f t="shared" si="2"/>
        <v>4188</v>
      </c>
      <c r="K38" s="11">
        <f>zápis!AT53</f>
        <v>25</v>
      </c>
      <c r="L38" s="23">
        <f t="shared" si="3"/>
        <v>167.52</v>
      </c>
    </row>
    <row r="39" spans="1:12" s="7" customFormat="1" ht="15" customHeight="1">
      <c r="A39" s="367" t="s">
        <v>4</v>
      </c>
      <c r="B39" s="37" t="s">
        <v>68</v>
      </c>
      <c r="C39" s="15">
        <f>zápis!H56</f>
        <v>814</v>
      </c>
      <c r="D39" s="16">
        <f>zápis!N56</f>
        <v>831</v>
      </c>
      <c r="E39" s="16">
        <f>zápis!T56</f>
        <v>831</v>
      </c>
      <c r="F39" s="16">
        <f>zápis!Z56</f>
        <v>0</v>
      </c>
      <c r="G39" s="16">
        <f>zápis!AF56</f>
        <v>751</v>
      </c>
      <c r="H39" s="16">
        <f>zápis!AL56</f>
        <v>854</v>
      </c>
      <c r="I39" s="16">
        <f>zápis!AR56</f>
        <v>790</v>
      </c>
      <c r="J39" s="10">
        <f t="shared" si="2"/>
        <v>4871</v>
      </c>
      <c r="K39" s="11">
        <f>zápis!AT56</f>
        <v>30</v>
      </c>
      <c r="L39" s="23">
        <f t="shared" si="3"/>
        <v>162.36666666666667</v>
      </c>
    </row>
    <row r="40" spans="1:12" s="7" customFormat="1" ht="15" customHeight="1">
      <c r="A40" s="367" t="s">
        <v>4</v>
      </c>
      <c r="B40" s="37" t="s">
        <v>67</v>
      </c>
      <c r="C40" s="15">
        <f>zápis!H57</f>
        <v>680</v>
      </c>
      <c r="D40" s="16">
        <f>zápis!N57</f>
        <v>796</v>
      </c>
      <c r="E40" s="16">
        <f>zápis!T57</f>
        <v>768</v>
      </c>
      <c r="F40" s="16">
        <f>zápis!Z57</f>
        <v>807</v>
      </c>
      <c r="G40" s="16">
        <f>zápis!AF57</f>
        <v>822</v>
      </c>
      <c r="H40" s="16">
        <f>zápis!AL57</f>
        <v>894</v>
      </c>
      <c r="I40" s="16">
        <f>zápis!AR57</f>
        <v>761</v>
      </c>
      <c r="J40" s="10">
        <f t="shared" si="2"/>
        <v>5528</v>
      </c>
      <c r="K40" s="11">
        <f>zápis!AT57</f>
        <v>35</v>
      </c>
      <c r="L40" s="23">
        <f t="shared" si="3"/>
        <v>157.94285714285715</v>
      </c>
    </row>
    <row r="41" spans="1:12" s="7" customFormat="1" ht="15" customHeight="1">
      <c r="A41" s="367" t="s">
        <v>4</v>
      </c>
      <c r="B41" s="113" t="s">
        <v>95</v>
      </c>
      <c r="C41" s="15">
        <f>zápis!H64</f>
        <v>707</v>
      </c>
      <c r="D41" s="16">
        <f>zápis!N64</f>
        <v>0</v>
      </c>
      <c r="E41" s="16">
        <f>zápis!T64</f>
        <v>703</v>
      </c>
      <c r="F41" s="16">
        <f>zápis!Z64</f>
        <v>638</v>
      </c>
      <c r="G41" s="16">
        <f>zápis!AF64</f>
        <v>801</v>
      </c>
      <c r="H41" s="16">
        <f>zápis!AL64</f>
        <v>0</v>
      </c>
      <c r="I41" s="16">
        <f>zápis!AR64</f>
        <v>687</v>
      </c>
      <c r="J41" s="10">
        <f t="shared" si="2"/>
        <v>3536</v>
      </c>
      <c r="K41" s="11">
        <f>zápis!AT64</f>
        <v>25</v>
      </c>
      <c r="L41" s="23">
        <f t="shared" si="3"/>
        <v>141.44</v>
      </c>
    </row>
    <row r="42" spans="1:12" s="7" customFormat="1" ht="15" customHeight="1">
      <c r="A42" s="367" t="s">
        <v>4</v>
      </c>
      <c r="B42" s="22" t="s">
        <v>28</v>
      </c>
      <c r="C42" s="15">
        <f>zápis!H50</f>
        <v>691</v>
      </c>
      <c r="D42" s="16">
        <f>zápis!N50</f>
        <v>638</v>
      </c>
      <c r="E42" s="16">
        <f>zápis!T50</f>
        <v>0</v>
      </c>
      <c r="F42" s="16">
        <f>zápis!Z50</f>
        <v>0</v>
      </c>
      <c r="G42" s="16">
        <f>zápis!AF50</f>
        <v>757</v>
      </c>
      <c r="H42" s="16">
        <f>zápis!AL50</f>
        <v>701</v>
      </c>
      <c r="I42" s="16">
        <f>zápis!AR50</f>
        <v>742</v>
      </c>
      <c r="J42" s="10">
        <f t="shared" si="2"/>
        <v>3529</v>
      </c>
      <c r="K42" s="11">
        <f>zápis!AT50</f>
        <v>25</v>
      </c>
      <c r="L42" s="23">
        <f t="shared" si="3"/>
        <v>141.16</v>
      </c>
    </row>
    <row r="43" spans="1:12" s="7" customFormat="1" ht="15" customHeight="1">
      <c r="A43" s="367" t="s">
        <v>4</v>
      </c>
      <c r="B43" s="52" t="s">
        <v>80</v>
      </c>
      <c r="C43" s="15">
        <f>zápis!H60</f>
        <v>0</v>
      </c>
      <c r="D43" s="16">
        <f>zápis!N60</f>
        <v>751</v>
      </c>
      <c r="E43" s="16">
        <f>zápis!T60</f>
        <v>660</v>
      </c>
      <c r="F43" s="16">
        <f>zápis!Z60</f>
        <v>0</v>
      </c>
      <c r="G43" s="16">
        <f>zápis!AF60</f>
        <v>0</v>
      </c>
      <c r="H43" s="16">
        <f>zápis!AL60</f>
        <v>0</v>
      </c>
      <c r="I43" s="16">
        <f>zápis!AR60</f>
        <v>0</v>
      </c>
      <c r="J43" s="10">
        <f t="shared" si="2"/>
        <v>1411</v>
      </c>
      <c r="K43" s="11">
        <f>zápis!AT60</f>
        <v>10</v>
      </c>
      <c r="L43" s="23">
        <f t="shared" si="3"/>
        <v>141.1</v>
      </c>
    </row>
    <row r="44" spans="1:12" s="7" customFormat="1" ht="15" customHeight="1">
      <c r="A44" s="367" t="s">
        <v>4</v>
      </c>
      <c r="B44" s="22" t="s">
        <v>124</v>
      </c>
      <c r="C44" s="15">
        <f>zápis!H70</f>
        <v>0</v>
      </c>
      <c r="D44" s="16">
        <f>zápis!N70</f>
        <v>0</v>
      </c>
      <c r="E44" s="16">
        <f>zápis!T70</f>
        <v>0</v>
      </c>
      <c r="F44" s="16">
        <f>zápis!Z70</f>
        <v>779</v>
      </c>
      <c r="G44" s="16">
        <f>zápis!AF70</f>
        <v>667</v>
      </c>
      <c r="H44" s="16">
        <f>zápis!AL70</f>
        <v>716</v>
      </c>
      <c r="I44" s="16">
        <f>zápis!AR70</f>
        <v>642</v>
      </c>
      <c r="J44" s="10">
        <f t="shared" si="2"/>
        <v>2804</v>
      </c>
      <c r="K44" s="11">
        <f>zápis!AT70</f>
        <v>20</v>
      </c>
      <c r="L44" s="23">
        <f t="shared" si="3"/>
        <v>140.19999999999999</v>
      </c>
    </row>
    <row r="45" spans="1:12" s="7" customFormat="1" ht="15" customHeight="1">
      <c r="A45" s="367" t="s">
        <v>4</v>
      </c>
      <c r="B45" s="22" t="s">
        <v>31</v>
      </c>
      <c r="C45" s="15">
        <f>zápis!H54</f>
        <v>661</v>
      </c>
      <c r="D45" s="16">
        <f>zápis!N54</f>
        <v>0</v>
      </c>
      <c r="E45" s="16">
        <f>zápis!T54</f>
        <v>0</v>
      </c>
      <c r="F45" s="16">
        <f>zápis!Z54</f>
        <v>0</v>
      </c>
      <c r="G45" s="16">
        <f>zápis!AF54</f>
        <v>0</v>
      </c>
      <c r="H45" s="16">
        <f>zápis!AL54</f>
        <v>695</v>
      </c>
      <c r="I45" s="16">
        <f>zápis!AR54</f>
        <v>697</v>
      </c>
      <c r="J45" s="10">
        <f t="shared" si="2"/>
        <v>2053</v>
      </c>
      <c r="K45" s="11">
        <f>zápis!AT54</f>
        <v>15</v>
      </c>
      <c r="L45" s="23">
        <f t="shared" si="3"/>
        <v>136.86666666666667</v>
      </c>
    </row>
    <row r="46" spans="1:12" s="7" customFormat="1" ht="15" customHeight="1">
      <c r="A46" s="367" t="s">
        <v>4</v>
      </c>
      <c r="B46" s="52" t="s">
        <v>92</v>
      </c>
      <c r="C46" s="15">
        <f>zápis!H62</f>
        <v>0</v>
      </c>
      <c r="D46" s="16">
        <f>zápis!N62</f>
        <v>686</v>
      </c>
      <c r="E46" s="16">
        <f>zápis!T62</f>
        <v>0</v>
      </c>
      <c r="F46" s="16">
        <f>zápis!Z62</f>
        <v>0</v>
      </c>
      <c r="G46" s="16">
        <f>zápis!AF62</f>
        <v>0</v>
      </c>
      <c r="H46" s="16">
        <f>zápis!AL62</f>
        <v>645</v>
      </c>
      <c r="I46" s="16">
        <f>zápis!AR62</f>
        <v>0</v>
      </c>
      <c r="J46" s="10">
        <f t="shared" si="2"/>
        <v>1331</v>
      </c>
      <c r="K46" s="11">
        <f>zápis!AT62</f>
        <v>10</v>
      </c>
      <c r="L46" s="23">
        <f t="shared" si="3"/>
        <v>133.1</v>
      </c>
    </row>
    <row r="47" spans="1:12" s="7" customFormat="1" ht="15" customHeight="1">
      <c r="A47" s="367" t="s">
        <v>4</v>
      </c>
      <c r="B47" s="113" t="s">
        <v>117</v>
      </c>
      <c r="C47" s="15">
        <f>zápis!H69</f>
        <v>0</v>
      </c>
      <c r="D47" s="16">
        <f>zápis!N69</f>
        <v>621</v>
      </c>
      <c r="E47" s="16">
        <f>zápis!T69</f>
        <v>0</v>
      </c>
      <c r="F47" s="16">
        <f>zápis!Z69</f>
        <v>0</v>
      </c>
      <c r="G47" s="16">
        <f>zápis!AF69</f>
        <v>0</v>
      </c>
      <c r="H47" s="16">
        <f>zápis!AL69</f>
        <v>650</v>
      </c>
      <c r="I47" s="16">
        <f>zápis!AR69</f>
        <v>0</v>
      </c>
      <c r="J47" s="10">
        <f t="shared" si="2"/>
        <v>1271</v>
      </c>
      <c r="K47" s="11">
        <f>zápis!AT69</f>
        <v>10</v>
      </c>
      <c r="L47" s="23">
        <f t="shared" si="3"/>
        <v>127.1</v>
      </c>
    </row>
    <row r="48" spans="1:12" s="7" customFormat="1" ht="15" customHeight="1">
      <c r="A48" s="368" t="s">
        <v>4</v>
      </c>
      <c r="B48" s="113" t="s">
        <v>218</v>
      </c>
      <c r="C48" s="15">
        <f>zápis!H67</f>
        <v>627</v>
      </c>
      <c r="D48" s="16">
        <f>zápis!N67</f>
        <v>0</v>
      </c>
      <c r="E48" s="16">
        <f>zápis!T67</f>
        <v>0</v>
      </c>
      <c r="F48" s="16">
        <f>zápis!Z67</f>
        <v>0</v>
      </c>
      <c r="G48" s="16">
        <f>zápis!AF67</f>
        <v>0</v>
      </c>
      <c r="H48" s="16">
        <f>zápis!AL67</f>
        <v>0</v>
      </c>
      <c r="I48" s="16">
        <f>zápis!AR67</f>
        <v>0</v>
      </c>
      <c r="J48" s="10">
        <f t="shared" si="2"/>
        <v>627</v>
      </c>
      <c r="K48" s="11">
        <f>zápis!AT67</f>
        <v>5</v>
      </c>
      <c r="L48" s="23">
        <f t="shared" si="3"/>
        <v>125.4</v>
      </c>
    </row>
    <row r="49" spans="1:12" s="7" customFormat="1" ht="15" customHeight="1">
      <c r="A49" s="367" t="s">
        <v>4</v>
      </c>
      <c r="B49" s="52" t="s">
        <v>94</v>
      </c>
      <c r="C49" s="15">
        <f>zápis!H63</f>
        <v>0</v>
      </c>
      <c r="D49" s="16">
        <f>zápis!N63</f>
        <v>0</v>
      </c>
      <c r="E49" s="16">
        <f>zápis!T63</f>
        <v>699</v>
      </c>
      <c r="F49" s="16">
        <f>zápis!Z63</f>
        <v>549</v>
      </c>
      <c r="G49" s="16">
        <f>zápis!AF63</f>
        <v>0</v>
      </c>
      <c r="H49" s="16">
        <f>zápis!AL63</f>
        <v>0</v>
      </c>
      <c r="I49" s="16">
        <f>zápis!AR63</f>
        <v>0</v>
      </c>
      <c r="J49" s="10">
        <f t="shared" si="2"/>
        <v>1248</v>
      </c>
      <c r="K49" s="11">
        <f>zápis!AT63</f>
        <v>10</v>
      </c>
      <c r="L49" s="23">
        <f t="shared" si="3"/>
        <v>124.8</v>
      </c>
    </row>
    <row r="50" spans="1:12" s="7" customFormat="1" ht="15" customHeight="1">
      <c r="A50" s="367" t="s">
        <v>4</v>
      </c>
      <c r="B50" s="22" t="s">
        <v>30</v>
      </c>
      <c r="C50" s="15">
        <f>zápis!H52</f>
        <v>590</v>
      </c>
      <c r="D50" s="16">
        <f>zápis!N52</f>
        <v>636</v>
      </c>
      <c r="E50" s="16">
        <f>zápis!T52</f>
        <v>681</v>
      </c>
      <c r="F50" s="16">
        <f>zápis!Z52</f>
        <v>594</v>
      </c>
      <c r="G50" s="16">
        <f>zápis!AF52</f>
        <v>606</v>
      </c>
      <c r="H50" s="16">
        <f>zápis!AL52</f>
        <v>0</v>
      </c>
      <c r="I50" s="16">
        <f>zápis!AR52</f>
        <v>0</v>
      </c>
      <c r="J50" s="10">
        <f t="shared" si="2"/>
        <v>3107</v>
      </c>
      <c r="K50" s="11">
        <f>zápis!AT52</f>
        <v>25</v>
      </c>
      <c r="L50" s="23">
        <f t="shared" si="3"/>
        <v>124.28</v>
      </c>
    </row>
    <row r="51" spans="1:12" s="7" customFormat="1" ht="15" customHeight="1">
      <c r="A51" s="367" t="s">
        <v>4</v>
      </c>
      <c r="B51" s="66" t="s">
        <v>79</v>
      </c>
      <c r="C51" s="15">
        <f>zápis!H58</f>
        <v>0</v>
      </c>
      <c r="D51" s="16">
        <f>zápis!N58</f>
        <v>0</v>
      </c>
      <c r="E51" s="16">
        <f>zápis!T58</f>
        <v>581</v>
      </c>
      <c r="F51" s="16">
        <f>zápis!Z58</f>
        <v>0</v>
      </c>
      <c r="G51" s="16">
        <f>zápis!AF58</f>
        <v>585</v>
      </c>
      <c r="H51" s="16">
        <f>zápis!AL58</f>
        <v>0</v>
      </c>
      <c r="I51" s="16">
        <f>zápis!AR58</f>
        <v>0</v>
      </c>
      <c r="J51" s="10">
        <f t="shared" si="2"/>
        <v>1166</v>
      </c>
      <c r="K51" s="11">
        <f>zápis!AT58</f>
        <v>10</v>
      </c>
      <c r="L51" s="23">
        <f t="shared" si="3"/>
        <v>116.6</v>
      </c>
    </row>
    <row r="52" spans="1:12" s="7" customFormat="1" ht="15" customHeight="1">
      <c r="A52" s="367" t="s">
        <v>4</v>
      </c>
      <c r="B52" s="22" t="s">
        <v>254</v>
      </c>
      <c r="C52" s="15">
        <f>zápis!H72</f>
        <v>0</v>
      </c>
      <c r="D52" s="16">
        <f>zápis!N72</f>
        <v>0</v>
      </c>
      <c r="E52" s="16">
        <f>zápis!T72</f>
        <v>0</v>
      </c>
      <c r="F52" s="16">
        <f>zápis!Z72</f>
        <v>577</v>
      </c>
      <c r="G52" s="16">
        <f>zápis!AF72</f>
        <v>0</v>
      </c>
      <c r="H52" s="16">
        <f>zápis!AL72</f>
        <v>538</v>
      </c>
      <c r="I52" s="16">
        <f>zápis!AR72</f>
        <v>632</v>
      </c>
      <c r="J52" s="10">
        <f t="shared" si="2"/>
        <v>1747</v>
      </c>
      <c r="K52" s="11">
        <f>zápis!AT72</f>
        <v>15</v>
      </c>
      <c r="L52" s="23">
        <f t="shared" si="3"/>
        <v>116.46666666666667</v>
      </c>
    </row>
    <row r="53" spans="1:12" s="7" customFormat="1" ht="15" customHeight="1">
      <c r="A53" s="367" t="s">
        <v>4</v>
      </c>
      <c r="B53" s="52" t="s">
        <v>217</v>
      </c>
      <c r="C53" s="15">
        <f>zápis!H66</f>
        <v>553</v>
      </c>
      <c r="D53" s="16">
        <f>zápis!N66</f>
        <v>573</v>
      </c>
      <c r="E53" s="16">
        <f>zápis!T66</f>
        <v>567</v>
      </c>
      <c r="F53" s="16">
        <f>zápis!Z66</f>
        <v>560</v>
      </c>
      <c r="G53" s="16">
        <f>zápis!AF66</f>
        <v>649</v>
      </c>
      <c r="H53" s="16">
        <f>zápis!AL66</f>
        <v>0</v>
      </c>
      <c r="I53" s="16">
        <f>zápis!AR66</f>
        <v>0</v>
      </c>
      <c r="J53" s="10">
        <f t="shared" si="2"/>
        <v>2902</v>
      </c>
      <c r="K53" s="11">
        <f>zápis!AT66</f>
        <v>25</v>
      </c>
      <c r="L53" s="23">
        <f t="shared" si="3"/>
        <v>116.08</v>
      </c>
    </row>
    <row r="54" spans="1:12" s="7" customFormat="1" ht="15" customHeight="1">
      <c r="A54" s="367" t="s">
        <v>4</v>
      </c>
      <c r="B54" s="22" t="s">
        <v>296</v>
      </c>
      <c r="C54" s="15">
        <f>zápis!H51</f>
        <v>0</v>
      </c>
      <c r="D54" s="16">
        <f>zápis!N51</f>
        <v>0</v>
      </c>
      <c r="E54" s="16">
        <f>zápis!T51</f>
        <v>0</v>
      </c>
      <c r="F54" s="16">
        <f>zápis!Z51</f>
        <v>0</v>
      </c>
      <c r="G54" s="16">
        <f>zápis!AF51</f>
        <v>0</v>
      </c>
      <c r="H54" s="16">
        <f>zápis!AL51</f>
        <v>0</v>
      </c>
      <c r="I54" s="16">
        <f>zápis!AR51</f>
        <v>578</v>
      </c>
      <c r="J54" s="10">
        <f t="shared" si="2"/>
        <v>578</v>
      </c>
      <c r="K54" s="11">
        <f>zápis!AT51</f>
        <v>5</v>
      </c>
      <c r="L54" s="23">
        <f t="shared" si="3"/>
        <v>115.6</v>
      </c>
    </row>
    <row r="55" spans="1:12" s="7" customFormat="1" ht="15" customHeight="1">
      <c r="A55" s="367" t="s">
        <v>4</v>
      </c>
      <c r="B55" s="22" t="s">
        <v>29</v>
      </c>
      <c r="C55" s="15">
        <f>zápis!H55</f>
        <v>530</v>
      </c>
      <c r="D55" s="16">
        <f>zápis!N55</f>
        <v>563</v>
      </c>
      <c r="E55" s="16">
        <f>zápis!T55</f>
        <v>0</v>
      </c>
      <c r="F55" s="16">
        <f>zápis!Z55</f>
        <v>535</v>
      </c>
      <c r="G55" s="16">
        <f>zápis!AF55</f>
        <v>0</v>
      </c>
      <c r="H55" s="16">
        <f>zápis!AL55</f>
        <v>615</v>
      </c>
      <c r="I55" s="16">
        <f>zápis!AR55</f>
        <v>544</v>
      </c>
      <c r="J55" s="10">
        <f t="shared" si="2"/>
        <v>2787</v>
      </c>
      <c r="K55" s="11">
        <f>zápis!AT55</f>
        <v>25</v>
      </c>
      <c r="L55" s="23">
        <f t="shared" si="3"/>
        <v>111.48</v>
      </c>
    </row>
    <row r="56" spans="1:12" s="7" customFormat="1" ht="15" customHeight="1">
      <c r="A56" s="367" t="s">
        <v>4</v>
      </c>
      <c r="B56" s="52" t="s">
        <v>287</v>
      </c>
      <c r="C56" s="15">
        <f>zápis!H68</f>
        <v>0</v>
      </c>
      <c r="D56" s="16">
        <f>zápis!N68</f>
        <v>0</v>
      </c>
      <c r="E56" s="16">
        <f>zápis!T68</f>
        <v>0</v>
      </c>
      <c r="F56" s="16">
        <f>zápis!Z68</f>
        <v>0</v>
      </c>
      <c r="G56" s="16">
        <f>zápis!AF68</f>
        <v>550</v>
      </c>
      <c r="H56" s="16">
        <f>zápis!AL68</f>
        <v>0</v>
      </c>
      <c r="I56" s="16">
        <f>zápis!AR68</f>
        <v>0</v>
      </c>
      <c r="J56" s="10">
        <f t="shared" si="2"/>
        <v>550</v>
      </c>
      <c r="K56" s="11">
        <f>zápis!AT68</f>
        <v>5</v>
      </c>
      <c r="L56" s="23">
        <f t="shared" si="3"/>
        <v>110</v>
      </c>
    </row>
    <row r="57" spans="1:12" s="7" customFormat="1" ht="15" customHeight="1">
      <c r="A57" s="367" t="s">
        <v>4</v>
      </c>
      <c r="B57" s="52" t="s">
        <v>243</v>
      </c>
      <c r="C57" s="15">
        <f>zápis!H65</f>
        <v>0</v>
      </c>
      <c r="D57" s="16">
        <f>zápis!N65</f>
        <v>0</v>
      </c>
      <c r="E57" s="16">
        <f>zápis!T65</f>
        <v>508</v>
      </c>
      <c r="F57" s="16">
        <f>zápis!Z65</f>
        <v>556</v>
      </c>
      <c r="G57" s="16">
        <f>zápis!AF65</f>
        <v>0</v>
      </c>
      <c r="H57" s="16">
        <f>zápis!AL65</f>
        <v>0</v>
      </c>
      <c r="I57" s="16">
        <f>zápis!AR65</f>
        <v>0</v>
      </c>
      <c r="J57" s="10">
        <f t="shared" si="2"/>
        <v>1064</v>
      </c>
      <c r="K57" s="11">
        <f>zápis!AT65</f>
        <v>10</v>
      </c>
      <c r="L57" s="23">
        <f t="shared" si="3"/>
        <v>106.4</v>
      </c>
    </row>
    <row r="58" spans="1:12" s="7" customFormat="1" ht="15" customHeight="1">
      <c r="A58" s="367" t="s">
        <v>4</v>
      </c>
      <c r="B58" s="52" t="s">
        <v>286</v>
      </c>
      <c r="C58" s="15">
        <f>zápis!H61</f>
        <v>0</v>
      </c>
      <c r="D58" s="16">
        <f>zápis!N61</f>
        <v>0</v>
      </c>
      <c r="E58" s="16">
        <f>zápis!T61</f>
        <v>0</v>
      </c>
      <c r="F58" s="16">
        <f>zápis!Z61</f>
        <v>0</v>
      </c>
      <c r="G58" s="16">
        <f>zápis!AF61</f>
        <v>518</v>
      </c>
      <c r="H58" s="16">
        <f>zápis!AL61</f>
        <v>0</v>
      </c>
      <c r="I58" s="16">
        <f>zápis!AR61</f>
        <v>0</v>
      </c>
      <c r="J58" s="10">
        <f t="shared" si="2"/>
        <v>518</v>
      </c>
      <c r="K58" s="11">
        <f>zápis!AT61</f>
        <v>5</v>
      </c>
      <c r="L58" s="23">
        <f t="shared" si="3"/>
        <v>103.6</v>
      </c>
    </row>
    <row r="59" spans="1:12" s="7" customFormat="1" ht="15" customHeight="1">
      <c r="A59" s="367" t="s">
        <v>4</v>
      </c>
      <c r="B59" s="22" t="s">
        <v>253</v>
      </c>
      <c r="C59" s="15">
        <f>zápis!H71</f>
        <v>0</v>
      </c>
      <c r="D59" s="16">
        <f>zápis!N71</f>
        <v>0</v>
      </c>
      <c r="E59" s="16">
        <f>zápis!T71</f>
        <v>0</v>
      </c>
      <c r="F59" s="16">
        <f>zápis!Z71</f>
        <v>487</v>
      </c>
      <c r="G59" s="16">
        <f>zápis!AF71</f>
        <v>0</v>
      </c>
      <c r="H59" s="16">
        <f>zápis!AL71</f>
        <v>0</v>
      </c>
      <c r="I59" s="16">
        <f>zápis!AR71</f>
        <v>0</v>
      </c>
      <c r="J59" s="10">
        <f t="shared" si="2"/>
        <v>487</v>
      </c>
      <c r="K59" s="11">
        <f>zápis!AT71</f>
        <v>5</v>
      </c>
      <c r="L59" s="23">
        <f t="shared" si="3"/>
        <v>97.4</v>
      </c>
    </row>
    <row r="60" spans="1:12" s="7" customFormat="1" ht="15" customHeight="1">
      <c r="A60" s="367" t="s">
        <v>4</v>
      </c>
      <c r="B60" s="52" t="s">
        <v>102</v>
      </c>
      <c r="C60" s="15">
        <f>zápis!H59</f>
        <v>0</v>
      </c>
      <c r="D60" s="16">
        <f>zápis!N59</f>
        <v>0</v>
      </c>
      <c r="E60" s="16">
        <f>zápis!T59</f>
        <v>0</v>
      </c>
      <c r="F60" s="16">
        <f>zápis!Z59</f>
        <v>0</v>
      </c>
      <c r="G60" s="16">
        <f>zápis!AF59</f>
        <v>0</v>
      </c>
      <c r="H60" s="16">
        <f>zápis!AL59</f>
        <v>0</v>
      </c>
      <c r="I60" s="16">
        <f>zápis!AR59</f>
        <v>0</v>
      </c>
      <c r="J60" s="10"/>
      <c r="K60" s="11"/>
      <c r="L60" s="23"/>
    </row>
    <row r="61" spans="1:12" s="7" customFormat="1" ht="15" customHeight="1">
      <c r="A61" s="369" t="s">
        <v>0</v>
      </c>
      <c r="B61" s="114" t="s">
        <v>27</v>
      </c>
      <c r="C61" s="15">
        <f>zápis!H77</f>
        <v>744</v>
      </c>
      <c r="D61" s="16">
        <f>zápis!N77</f>
        <v>915</v>
      </c>
      <c r="E61" s="16">
        <f>zápis!T77</f>
        <v>960</v>
      </c>
      <c r="F61" s="16">
        <f>zápis!Z77</f>
        <v>0</v>
      </c>
      <c r="G61" s="16">
        <f>zápis!AF77</f>
        <v>854</v>
      </c>
      <c r="H61" s="16">
        <f>zápis!AL77</f>
        <v>889</v>
      </c>
      <c r="I61" s="16">
        <f>zápis!AR77</f>
        <v>850</v>
      </c>
      <c r="J61" s="10">
        <f t="shared" ref="J61:J75" si="4">SUM(C61:I61)</f>
        <v>5212</v>
      </c>
      <c r="K61" s="11">
        <f>zápis!AT77</f>
        <v>30</v>
      </c>
      <c r="L61" s="23">
        <f t="shared" ref="L61:L75" si="5">IF(K61=0,"",J61/K61)</f>
        <v>173.73333333333332</v>
      </c>
    </row>
    <row r="62" spans="1:12" s="7" customFormat="1" ht="15" customHeight="1">
      <c r="A62" s="369" t="s">
        <v>0</v>
      </c>
      <c r="B62" s="114" t="s">
        <v>3</v>
      </c>
      <c r="C62" s="15">
        <f>zápis!H76</f>
        <v>881</v>
      </c>
      <c r="D62" s="16">
        <f>zápis!N76</f>
        <v>876</v>
      </c>
      <c r="E62" s="16">
        <f>zápis!T76</f>
        <v>814</v>
      </c>
      <c r="F62" s="16">
        <f>zápis!Z76</f>
        <v>901</v>
      </c>
      <c r="G62" s="16">
        <f>zápis!AF76</f>
        <v>766</v>
      </c>
      <c r="H62" s="16">
        <f>zápis!AL76</f>
        <v>834</v>
      </c>
      <c r="I62" s="16">
        <f>zápis!AR76</f>
        <v>844</v>
      </c>
      <c r="J62" s="10">
        <f t="shared" si="4"/>
        <v>5916</v>
      </c>
      <c r="K62" s="11">
        <f>zápis!AT76</f>
        <v>35</v>
      </c>
      <c r="L62" s="23">
        <f t="shared" si="5"/>
        <v>169.02857142857144</v>
      </c>
    </row>
    <row r="63" spans="1:12" s="7" customFormat="1" ht="15" customHeight="1">
      <c r="A63" s="369" t="s">
        <v>0</v>
      </c>
      <c r="B63" s="114" t="s">
        <v>244</v>
      </c>
      <c r="C63" s="15">
        <f>zápis!H88</f>
        <v>0</v>
      </c>
      <c r="D63" s="16">
        <f>zápis!N88</f>
        <v>0</v>
      </c>
      <c r="E63" s="16">
        <f>zápis!T88</f>
        <v>720</v>
      </c>
      <c r="F63" s="16">
        <f>zápis!Z88</f>
        <v>0</v>
      </c>
      <c r="G63" s="16">
        <f>zápis!AF88</f>
        <v>0</v>
      </c>
      <c r="H63" s="16">
        <f>zápis!AL88</f>
        <v>778</v>
      </c>
      <c r="I63" s="16">
        <f>zápis!AR88</f>
        <v>893</v>
      </c>
      <c r="J63" s="10">
        <f t="shared" si="4"/>
        <v>2391</v>
      </c>
      <c r="K63" s="11">
        <f>zápis!AT88</f>
        <v>15</v>
      </c>
      <c r="L63" s="23">
        <f t="shared" si="5"/>
        <v>159.4</v>
      </c>
    </row>
    <row r="64" spans="1:12" s="7" customFormat="1" ht="15" customHeight="1">
      <c r="A64" s="369" t="s">
        <v>0</v>
      </c>
      <c r="B64" s="20" t="s">
        <v>34</v>
      </c>
      <c r="C64" s="15">
        <f>zápis!H83</f>
        <v>786</v>
      </c>
      <c r="D64" s="16">
        <f>zápis!N83</f>
        <v>806</v>
      </c>
      <c r="E64" s="16">
        <f>zápis!T83</f>
        <v>742</v>
      </c>
      <c r="F64" s="16">
        <f>zápis!Z83</f>
        <v>791</v>
      </c>
      <c r="G64" s="16">
        <f>zápis!AF83</f>
        <v>802</v>
      </c>
      <c r="H64" s="16">
        <f>zápis!AL83</f>
        <v>728</v>
      </c>
      <c r="I64" s="16">
        <f>zápis!AR83</f>
        <v>796</v>
      </c>
      <c r="J64" s="10">
        <f t="shared" si="4"/>
        <v>5451</v>
      </c>
      <c r="K64" s="11">
        <f>zápis!AT83</f>
        <v>35</v>
      </c>
      <c r="L64" s="23">
        <f t="shared" si="5"/>
        <v>155.74285714285713</v>
      </c>
    </row>
    <row r="65" spans="1:12" s="7" customFormat="1" ht="15" customHeight="1">
      <c r="A65" s="369" t="s">
        <v>0</v>
      </c>
      <c r="B65" s="20" t="s">
        <v>35</v>
      </c>
      <c r="C65" s="15">
        <f>zápis!H84</f>
        <v>777</v>
      </c>
      <c r="D65" s="16">
        <f>zápis!N84</f>
        <v>701</v>
      </c>
      <c r="E65" s="16">
        <f>zápis!T84</f>
        <v>770</v>
      </c>
      <c r="F65" s="16">
        <f>zápis!Z84</f>
        <v>738</v>
      </c>
      <c r="G65" s="16">
        <f>zápis!AF84</f>
        <v>776</v>
      </c>
      <c r="H65" s="16">
        <f>zápis!AL84</f>
        <v>814</v>
      </c>
      <c r="I65" s="16">
        <f>zápis!AR84</f>
        <v>722</v>
      </c>
      <c r="J65" s="10">
        <f t="shared" si="4"/>
        <v>5298</v>
      </c>
      <c r="K65" s="11">
        <f>zápis!AT84</f>
        <v>35</v>
      </c>
      <c r="L65" s="23">
        <f t="shared" si="5"/>
        <v>151.37142857142857</v>
      </c>
    </row>
    <row r="66" spans="1:12" s="7" customFormat="1" ht="15" customHeight="1">
      <c r="A66" s="369" t="s">
        <v>0</v>
      </c>
      <c r="B66" s="20" t="s">
        <v>78</v>
      </c>
      <c r="C66" s="15">
        <f>zápis!H80</f>
        <v>720</v>
      </c>
      <c r="D66" s="16">
        <f>zápis!N80</f>
        <v>693</v>
      </c>
      <c r="E66" s="16">
        <f>zápis!T80</f>
        <v>727</v>
      </c>
      <c r="F66" s="16">
        <f>zápis!Z80</f>
        <v>842</v>
      </c>
      <c r="G66" s="16">
        <f>zápis!AF80</f>
        <v>668</v>
      </c>
      <c r="H66" s="16">
        <f>zápis!AL80</f>
        <v>0</v>
      </c>
      <c r="I66" s="16">
        <f>zápis!AR80</f>
        <v>755</v>
      </c>
      <c r="J66" s="10">
        <f t="shared" si="4"/>
        <v>4405</v>
      </c>
      <c r="K66" s="11">
        <f>zápis!AT80</f>
        <v>30</v>
      </c>
      <c r="L66" s="23">
        <f t="shared" si="5"/>
        <v>146.83333333333334</v>
      </c>
    </row>
    <row r="67" spans="1:12" s="7" customFormat="1" ht="15" customHeight="1">
      <c r="A67" s="369" t="s">
        <v>0</v>
      </c>
      <c r="B67" s="20" t="s">
        <v>8</v>
      </c>
      <c r="C67" s="15">
        <f>zápis!H81</f>
        <v>664</v>
      </c>
      <c r="D67" s="16">
        <f>zápis!N81</f>
        <v>596</v>
      </c>
      <c r="E67" s="16">
        <f>zápis!T81</f>
        <v>838</v>
      </c>
      <c r="F67" s="16">
        <f>zápis!Z81</f>
        <v>773</v>
      </c>
      <c r="G67" s="16">
        <f>zápis!AF81</f>
        <v>630</v>
      </c>
      <c r="H67" s="16">
        <f>zápis!AL81</f>
        <v>673</v>
      </c>
      <c r="I67" s="16">
        <f>zápis!AR81</f>
        <v>628</v>
      </c>
      <c r="J67" s="10">
        <f t="shared" si="4"/>
        <v>4802</v>
      </c>
      <c r="K67" s="11">
        <f>zápis!AT81</f>
        <v>35</v>
      </c>
      <c r="L67" s="23">
        <f t="shared" si="5"/>
        <v>137.19999999999999</v>
      </c>
    </row>
    <row r="68" spans="1:12" s="7" customFormat="1" ht="15" customHeight="1">
      <c r="A68" s="369" t="s">
        <v>0</v>
      </c>
      <c r="B68" s="20" t="s">
        <v>42</v>
      </c>
      <c r="C68" s="15">
        <f>zápis!H82</f>
        <v>0</v>
      </c>
      <c r="D68" s="16">
        <f>zápis!N82</f>
        <v>0</v>
      </c>
      <c r="E68" s="16">
        <f>zápis!T82</f>
        <v>0</v>
      </c>
      <c r="F68" s="16">
        <f>zápis!Z82</f>
        <v>681</v>
      </c>
      <c r="G68" s="16">
        <f>zápis!AF82</f>
        <v>0</v>
      </c>
      <c r="H68" s="16">
        <f>zápis!AL82</f>
        <v>0</v>
      </c>
      <c r="I68" s="16">
        <f>zápis!AR82</f>
        <v>0</v>
      </c>
      <c r="J68" s="10">
        <f t="shared" si="4"/>
        <v>681</v>
      </c>
      <c r="K68" s="11">
        <f>zápis!AT82</f>
        <v>5</v>
      </c>
      <c r="L68" s="23">
        <f t="shared" si="5"/>
        <v>136.19999999999999</v>
      </c>
    </row>
    <row r="69" spans="1:12" s="7" customFormat="1" ht="15" customHeight="1">
      <c r="A69" s="369" t="s">
        <v>0</v>
      </c>
      <c r="B69" s="20" t="s">
        <v>46</v>
      </c>
      <c r="C69" s="15">
        <f>zápis!H78</f>
        <v>631</v>
      </c>
      <c r="D69" s="16">
        <f>zápis!N78</f>
        <v>665</v>
      </c>
      <c r="E69" s="16">
        <f>zápis!T78</f>
        <v>680</v>
      </c>
      <c r="F69" s="16">
        <f>zápis!Z78</f>
        <v>761</v>
      </c>
      <c r="G69" s="16">
        <f>zápis!AF78</f>
        <v>722</v>
      </c>
      <c r="H69" s="16">
        <f>zápis!AL78</f>
        <v>612</v>
      </c>
      <c r="I69" s="16">
        <f>zápis!AR78</f>
        <v>658</v>
      </c>
      <c r="J69" s="10">
        <f t="shared" si="4"/>
        <v>4729</v>
      </c>
      <c r="K69" s="11">
        <f>zápis!AT78</f>
        <v>35</v>
      </c>
      <c r="L69" s="23">
        <f t="shared" si="5"/>
        <v>135.11428571428573</v>
      </c>
    </row>
    <row r="70" spans="1:12" s="7" customFormat="1" ht="15" customHeight="1">
      <c r="A70" s="369" t="s">
        <v>0</v>
      </c>
      <c r="B70" s="20" t="s">
        <v>61</v>
      </c>
      <c r="C70" s="15">
        <f>zápis!H85</f>
        <v>705</v>
      </c>
      <c r="D70" s="16">
        <f>zápis!N85</f>
        <v>636</v>
      </c>
      <c r="E70" s="16">
        <f>zápis!T85</f>
        <v>711</v>
      </c>
      <c r="F70" s="16">
        <f>zápis!Z85</f>
        <v>618</v>
      </c>
      <c r="G70" s="16">
        <f>zápis!AF85</f>
        <v>0</v>
      </c>
      <c r="H70" s="16">
        <f>zápis!AL85</f>
        <v>597</v>
      </c>
      <c r="I70" s="16">
        <f>zápis!AR85</f>
        <v>0</v>
      </c>
      <c r="J70" s="10">
        <f t="shared" si="4"/>
        <v>3267</v>
      </c>
      <c r="K70" s="11">
        <f>zápis!AT85</f>
        <v>25</v>
      </c>
      <c r="L70" s="23">
        <f t="shared" si="5"/>
        <v>130.68</v>
      </c>
    </row>
    <row r="71" spans="1:12" s="7" customFormat="1" ht="15" customHeight="1">
      <c r="A71" s="369" t="s">
        <v>0</v>
      </c>
      <c r="B71" s="147" t="s">
        <v>125</v>
      </c>
      <c r="C71" s="15">
        <f>zápis!H94</f>
        <v>0</v>
      </c>
      <c r="D71" s="16">
        <f>zápis!N94</f>
        <v>0</v>
      </c>
      <c r="E71" s="16">
        <f>zápis!T94</f>
        <v>0</v>
      </c>
      <c r="F71" s="16">
        <f>zápis!Z94</f>
        <v>0</v>
      </c>
      <c r="G71" s="16">
        <f>zápis!AF94</f>
        <v>640</v>
      </c>
      <c r="H71" s="16">
        <f>zápis!AL94</f>
        <v>0</v>
      </c>
      <c r="I71" s="16">
        <f>zápis!AR94</f>
        <v>0</v>
      </c>
      <c r="J71" s="10">
        <f t="shared" si="4"/>
        <v>640</v>
      </c>
      <c r="K71" s="11">
        <f>zápis!AT94</f>
        <v>5</v>
      </c>
      <c r="L71" s="23">
        <f t="shared" si="5"/>
        <v>128</v>
      </c>
    </row>
    <row r="72" spans="1:12" s="7" customFormat="1" ht="15" customHeight="1">
      <c r="A72" s="369" t="s">
        <v>0</v>
      </c>
      <c r="B72" s="65" t="s">
        <v>13</v>
      </c>
      <c r="C72" s="15">
        <f>zápis!H79</f>
        <v>653</v>
      </c>
      <c r="D72" s="16">
        <f>zápis!N79</f>
        <v>608</v>
      </c>
      <c r="E72" s="16">
        <f>zápis!T79</f>
        <v>0</v>
      </c>
      <c r="F72" s="16">
        <f>zápis!Z79</f>
        <v>0</v>
      </c>
      <c r="G72" s="16">
        <f>zápis!AF79</f>
        <v>0</v>
      </c>
      <c r="H72" s="16">
        <f>zápis!AL79</f>
        <v>0</v>
      </c>
      <c r="I72" s="16">
        <f>zápis!AR79</f>
        <v>0</v>
      </c>
      <c r="J72" s="10">
        <f t="shared" si="4"/>
        <v>1261</v>
      </c>
      <c r="K72" s="11">
        <f>zápis!AT79</f>
        <v>10</v>
      </c>
      <c r="L72" s="23">
        <f t="shared" si="5"/>
        <v>126.1</v>
      </c>
    </row>
    <row r="73" spans="1:12" s="7" customFormat="1" ht="15" customHeight="1">
      <c r="A73" s="369" t="s">
        <v>0</v>
      </c>
      <c r="B73" s="67" t="s">
        <v>77</v>
      </c>
      <c r="C73" s="15">
        <f>zápis!H90</f>
        <v>0</v>
      </c>
      <c r="D73" s="16">
        <f>zápis!N90</f>
        <v>0</v>
      </c>
      <c r="E73" s="16">
        <f>zápis!T90</f>
        <v>0</v>
      </c>
      <c r="F73" s="16">
        <f>zápis!Z90</f>
        <v>619</v>
      </c>
      <c r="G73" s="16">
        <f>zápis!AF90</f>
        <v>0</v>
      </c>
      <c r="H73" s="16">
        <f>zápis!AL90</f>
        <v>598</v>
      </c>
      <c r="I73" s="16">
        <f>zápis!AR90</f>
        <v>586</v>
      </c>
      <c r="J73" s="10">
        <f t="shared" si="4"/>
        <v>1803</v>
      </c>
      <c r="K73" s="11">
        <f>zápis!AT90</f>
        <v>15</v>
      </c>
      <c r="L73" s="23">
        <f t="shared" si="5"/>
        <v>120.2</v>
      </c>
    </row>
    <row r="74" spans="1:12" s="7" customFormat="1" ht="15" customHeight="1">
      <c r="A74" s="369" t="s">
        <v>0</v>
      </c>
      <c r="B74" s="65" t="s">
        <v>19</v>
      </c>
      <c r="C74" s="15">
        <f>zápis!H86</f>
        <v>572</v>
      </c>
      <c r="D74" s="16">
        <f>zápis!N86</f>
        <v>548</v>
      </c>
      <c r="E74" s="16">
        <f>zápis!T86</f>
        <v>536</v>
      </c>
      <c r="F74" s="16">
        <f>zápis!Z86</f>
        <v>651</v>
      </c>
      <c r="G74" s="16">
        <f>zápis!AF86</f>
        <v>619</v>
      </c>
      <c r="H74" s="16">
        <f>zápis!AL86</f>
        <v>626</v>
      </c>
      <c r="I74" s="16">
        <f>zápis!AR86</f>
        <v>644</v>
      </c>
      <c r="J74" s="10">
        <f t="shared" si="4"/>
        <v>4196</v>
      </c>
      <c r="K74" s="11">
        <f>zápis!AT86</f>
        <v>35</v>
      </c>
      <c r="L74" s="23">
        <f t="shared" si="5"/>
        <v>119.88571428571429</v>
      </c>
    </row>
    <row r="75" spans="1:12" s="7" customFormat="1" ht="15" customHeight="1">
      <c r="A75" s="369" t="s">
        <v>0</v>
      </c>
      <c r="B75" s="62" t="s">
        <v>283</v>
      </c>
      <c r="C75" s="15">
        <f>zápis!H87</f>
        <v>0</v>
      </c>
      <c r="D75" s="16">
        <f>zápis!N87</f>
        <v>0</v>
      </c>
      <c r="E75" s="16">
        <f>zápis!T87</f>
        <v>0</v>
      </c>
      <c r="F75" s="16">
        <f>zápis!Z87</f>
        <v>0</v>
      </c>
      <c r="G75" s="16">
        <f>zápis!AF87</f>
        <v>524</v>
      </c>
      <c r="H75" s="16">
        <f>zápis!AL87</f>
        <v>0</v>
      </c>
      <c r="I75" s="16">
        <f>zápis!AR87</f>
        <v>0</v>
      </c>
      <c r="J75" s="10">
        <f t="shared" si="4"/>
        <v>524</v>
      </c>
      <c r="K75" s="11">
        <f>zápis!AT87</f>
        <v>5</v>
      </c>
      <c r="L75" s="23">
        <f t="shared" si="5"/>
        <v>104.8</v>
      </c>
    </row>
    <row r="76" spans="1:12" s="7" customFormat="1" ht="15" customHeight="1">
      <c r="A76" s="369" t="s">
        <v>0</v>
      </c>
      <c r="B76" s="596" t="s">
        <v>126</v>
      </c>
      <c r="C76" s="15">
        <f>zápis!H95</f>
        <v>0</v>
      </c>
      <c r="D76" s="16">
        <f>zápis!N95</f>
        <v>0</v>
      </c>
      <c r="E76" s="16">
        <f>zápis!T95</f>
        <v>0</v>
      </c>
      <c r="F76" s="16">
        <f>zápis!Z95</f>
        <v>0</v>
      </c>
      <c r="G76" s="16">
        <f>zápis!AF95</f>
        <v>0</v>
      </c>
      <c r="H76" s="16">
        <f>zápis!AL95</f>
        <v>0</v>
      </c>
      <c r="I76" s="16">
        <f>zápis!AR95</f>
        <v>0</v>
      </c>
      <c r="J76" s="10"/>
      <c r="K76" s="11"/>
      <c r="L76" s="23"/>
    </row>
    <row r="77" spans="1:12" s="7" customFormat="1" ht="15" customHeight="1">
      <c r="A77" s="369" t="s">
        <v>0</v>
      </c>
      <c r="B77" s="62" t="s">
        <v>76</v>
      </c>
      <c r="C77" s="15">
        <f>zápis!H89</f>
        <v>0</v>
      </c>
      <c r="D77" s="16">
        <f>zápis!N89</f>
        <v>0</v>
      </c>
      <c r="E77" s="16">
        <f>zápis!T89</f>
        <v>0</v>
      </c>
      <c r="F77" s="16">
        <f>zápis!Z89</f>
        <v>0</v>
      </c>
      <c r="G77" s="16">
        <f>zápis!AF89</f>
        <v>0</v>
      </c>
      <c r="H77" s="16">
        <f>zápis!AL89</f>
        <v>0</v>
      </c>
      <c r="I77" s="16">
        <f>zápis!AR89</f>
        <v>0</v>
      </c>
      <c r="J77" s="10"/>
      <c r="K77" s="11"/>
      <c r="L77" s="23"/>
    </row>
    <row r="78" spans="1:12" s="7" customFormat="1" ht="15" customHeight="1">
      <c r="A78" s="369" t="s">
        <v>0</v>
      </c>
      <c r="B78" s="147" t="s">
        <v>75</v>
      </c>
      <c r="C78" s="15">
        <f>zápis!H93</f>
        <v>0</v>
      </c>
      <c r="D78" s="16">
        <f>zápis!N93</f>
        <v>0</v>
      </c>
      <c r="E78" s="16">
        <f>zápis!T93</f>
        <v>0</v>
      </c>
      <c r="F78" s="16">
        <f>zápis!Z93</f>
        <v>0</v>
      </c>
      <c r="G78" s="16">
        <f>zápis!AF93</f>
        <v>0</v>
      </c>
      <c r="H78" s="16">
        <f>zápis!AL93</f>
        <v>0</v>
      </c>
      <c r="I78" s="16">
        <f>zápis!AR93</f>
        <v>0</v>
      </c>
      <c r="J78" s="10"/>
      <c r="K78" s="11"/>
      <c r="L78" s="23"/>
    </row>
    <row r="79" spans="1:12" s="7" customFormat="1" ht="15" customHeight="1">
      <c r="A79" s="369" t="s">
        <v>0</v>
      </c>
      <c r="B79" s="594" t="s">
        <v>115</v>
      </c>
      <c r="C79" s="15">
        <f>zápis!H92</f>
        <v>0</v>
      </c>
      <c r="D79" s="16">
        <f>zápis!N92</f>
        <v>0</v>
      </c>
      <c r="E79" s="16">
        <f>zápis!T92</f>
        <v>0</v>
      </c>
      <c r="F79" s="16">
        <f>zápis!Z92</f>
        <v>0</v>
      </c>
      <c r="G79" s="16">
        <f>zápis!AF92</f>
        <v>0</v>
      </c>
      <c r="H79" s="16">
        <f>zápis!AL92</f>
        <v>0</v>
      </c>
      <c r="I79" s="16">
        <f>zápis!AR92</f>
        <v>0</v>
      </c>
      <c r="J79" s="10"/>
      <c r="K79" s="11"/>
      <c r="L79" s="23"/>
    </row>
    <row r="80" spans="1:12" s="7" customFormat="1" ht="15" customHeight="1">
      <c r="A80" s="369" t="s">
        <v>0</v>
      </c>
      <c r="B80" s="594" t="s">
        <v>90</v>
      </c>
      <c r="C80" s="15">
        <f>zápis!H91</f>
        <v>0</v>
      </c>
      <c r="D80" s="16">
        <f>zápis!N91</f>
        <v>0</v>
      </c>
      <c r="E80" s="16">
        <f>zápis!T91</f>
        <v>0</v>
      </c>
      <c r="F80" s="16">
        <f>zápis!Z91</f>
        <v>0</v>
      </c>
      <c r="G80" s="16">
        <f>zápis!AF91</f>
        <v>0</v>
      </c>
      <c r="H80" s="16">
        <f>zápis!AL91</f>
        <v>0</v>
      </c>
      <c r="I80" s="16">
        <f>zápis!AR91</f>
        <v>0</v>
      </c>
      <c r="J80" s="10"/>
      <c r="K80" s="11"/>
      <c r="L80" s="23"/>
    </row>
    <row r="81" spans="1:12" s="7" customFormat="1" ht="15" customHeight="1">
      <c r="A81" s="370" t="s">
        <v>7</v>
      </c>
      <c r="B81" s="21" t="s">
        <v>96</v>
      </c>
      <c r="C81" s="15">
        <f>zápis!H99</f>
        <v>799</v>
      </c>
      <c r="D81" s="16">
        <f>zápis!N99</f>
        <v>891</v>
      </c>
      <c r="E81" s="16">
        <f>zápis!T99</f>
        <v>760</v>
      </c>
      <c r="F81" s="16">
        <f>zápis!Z99</f>
        <v>883</v>
      </c>
      <c r="G81" s="16">
        <f>zápis!AF99</f>
        <v>959</v>
      </c>
      <c r="H81" s="16">
        <f>zápis!AL99</f>
        <v>847</v>
      </c>
      <c r="I81" s="16">
        <f>zápis!AR99</f>
        <v>860</v>
      </c>
      <c r="J81" s="10">
        <f t="shared" ref="J81:J97" si="6">SUM(C81:I81)</f>
        <v>5999</v>
      </c>
      <c r="K81" s="11">
        <f>zápis!AT99</f>
        <v>35</v>
      </c>
      <c r="L81" s="23">
        <f t="shared" ref="L81:L97" si="7">IF(K81=0,"",J81/K81)</f>
        <v>171.4</v>
      </c>
    </row>
    <row r="82" spans="1:12" s="7" customFormat="1" ht="15" customHeight="1">
      <c r="A82" s="370" t="s">
        <v>7</v>
      </c>
      <c r="B82" s="131" t="s">
        <v>119</v>
      </c>
      <c r="C82" s="15">
        <f>zápis!H118</f>
        <v>0</v>
      </c>
      <c r="D82" s="16">
        <f>zápis!N118</f>
        <v>0</v>
      </c>
      <c r="E82" s="16">
        <f>zápis!T118</f>
        <v>0</v>
      </c>
      <c r="F82" s="16">
        <f>zápis!Z118</f>
        <v>840</v>
      </c>
      <c r="G82" s="16">
        <f>zápis!AF118</f>
        <v>0</v>
      </c>
      <c r="H82" s="16">
        <f>zápis!AL118</f>
        <v>0</v>
      </c>
      <c r="I82" s="16">
        <f>zápis!AR118</f>
        <v>0</v>
      </c>
      <c r="J82" s="10">
        <f t="shared" si="6"/>
        <v>840</v>
      </c>
      <c r="K82" s="11">
        <f>zápis!AT118</f>
        <v>5</v>
      </c>
      <c r="L82" s="23">
        <f t="shared" si="7"/>
        <v>168</v>
      </c>
    </row>
    <row r="83" spans="1:12" s="7" customFormat="1" ht="15" customHeight="1">
      <c r="A83" s="370" t="s">
        <v>7</v>
      </c>
      <c r="B83" s="21" t="s">
        <v>100</v>
      </c>
      <c r="C83" s="15">
        <f>zápis!H110</f>
        <v>0</v>
      </c>
      <c r="D83" s="16">
        <f>zápis!N110</f>
        <v>896</v>
      </c>
      <c r="E83" s="16">
        <f>zápis!T110</f>
        <v>824</v>
      </c>
      <c r="F83" s="16">
        <f>zápis!Z110</f>
        <v>0</v>
      </c>
      <c r="G83" s="16">
        <f>zápis!AF110</f>
        <v>826</v>
      </c>
      <c r="H83" s="16">
        <f>zápis!AL110</f>
        <v>0</v>
      </c>
      <c r="I83" s="16">
        <f>zápis!AR110</f>
        <v>757</v>
      </c>
      <c r="J83" s="10">
        <f t="shared" si="6"/>
        <v>3303</v>
      </c>
      <c r="K83" s="11">
        <f>zápis!AT110</f>
        <v>20</v>
      </c>
      <c r="L83" s="23">
        <f t="shared" si="7"/>
        <v>165.15</v>
      </c>
    </row>
    <row r="84" spans="1:12" s="7" customFormat="1" ht="15" customHeight="1">
      <c r="A84" s="370" t="s">
        <v>7</v>
      </c>
      <c r="B84" s="21" t="s">
        <v>60</v>
      </c>
      <c r="C84" s="15">
        <f>zápis!H111</f>
        <v>755</v>
      </c>
      <c r="D84" s="16">
        <f>zápis!N111</f>
        <v>790</v>
      </c>
      <c r="E84" s="16">
        <f>zápis!T111</f>
        <v>0</v>
      </c>
      <c r="F84" s="16">
        <f>zápis!Z111</f>
        <v>0</v>
      </c>
      <c r="G84" s="16">
        <f>zápis!AF111</f>
        <v>912</v>
      </c>
      <c r="H84" s="16">
        <f>zápis!AL111</f>
        <v>823</v>
      </c>
      <c r="I84" s="16">
        <f>zápis!AR111</f>
        <v>802</v>
      </c>
      <c r="J84" s="10">
        <f t="shared" si="6"/>
        <v>4082</v>
      </c>
      <c r="K84" s="11">
        <f>zápis!AT111</f>
        <v>25</v>
      </c>
      <c r="L84" s="23">
        <f t="shared" si="7"/>
        <v>163.28</v>
      </c>
    </row>
    <row r="85" spans="1:12" s="7" customFormat="1" ht="15" customHeight="1">
      <c r="A85" s="370" t="s">
        <v>7</v>
      </c>
      <c r="B85" s="115" t="s">
        <v>72</v>
      </c>
      <c r="C85" s="15">
        <f>zápis!H109</f>
        <v>830</v>
      </c>
      <c r="D85" s="16">
        <f>zápis!N109</f>
        <v>0</v>
      </c>
      <c r="E85" s="16">
        <f>zápis!T109</f>
        <v>0</v>
      </c>
      <c r="F85" s="16">
        <f>zápis!Z109</f>
        <v>0</v>
      </c>
      <c r="G85" s="16">
        <f>zápis!AF109</f>
        <v>0</v>
      </c>
      <c r="H85" s="16">
        <f>zápis!AL109</f>
        <v>0</v>
      </c>
      <c r="I85" s="16">
        <f>zápis!AR109</f>
        <v>766</v>
      </c>
      <c r="J85" s="10">
        <f t="shared" si="6"/>
        <v>1596</v>
      </c>
      <c r="K85" s="11">
        <f>zápis!AT109</f>
        <v>10</v>
      </c>
      <c r="L85" s="23">
        <f t="shared" si="7"/>
        <v>159.6</v>
      </c>
    </row>
    <row r="86" spans="1:12" s="7" customFormat="1" ht="15" customHeight="1">
      <c r="A86" s="370" t="s">
        <v>7</v>
      </c>
      <c r="B86" s="21" t="s">
        <v>106</v>
      </c>
      <c r="C86" s="15">
        <f>zápis!H103</f>
        <v>616</v>
      </c>
      <c r="D86" s="16">
        <f>zápis!N103</f>
        <v>738</v>
      </c>
      <c r="E86" s="16">
        <f>zápis!T103</f>
        <v>811</v>
      </c>
      <c r="F86" s="16">
        <f>zápis!Z103</f>
        <v>0</v>
      </c>
      <c r="G86" s="16">
        <f>zápis!AF103</f>
        <v>795</v>
      </c>
      <c r="H86" s="16">
        <f>zápis!AL103</f>
        <v>0</v>
      </c>
      <c r="I86" s="16">
        <f>zápis!AR103</f>
        <v>647</v>
      </c>
      <c r="J86" s="10">
        <f t="shared" si="6"/>
        <v>3607</v>
      </c>
      <c r="K86" s="11">
        <f>zápis!AT103</f>
        <v>25</v>
      </c>
      <c r="L86" s="23">
        <f t="shared" si="7"/>
        <v>144.28</v>
      </c>
    </row>
    <row r="87" spans="1:12" s="7" customFormat="1" ht="15" customHeight="1">
      <c r="A87" s="370" t="s">
        <v>7</v>
      </c>
      <c r="B87" s="68" t="s">
        <v>44</v>
      </c>
      <c r="C87" s="15">
        <f>zápis!H101</f>
        <v>0</v>
      </c>
      <c r="D87" s="16">
        <f>zápis!N101</f>
        <v>662</v>
      </c>
      <c r="E87" s="16">
        <f>zápis!T101</f>
        <v>0</v>
      </c>
      <c r="F87" s="16">
        <f>zápis!Z101</f>
        <v>725</v>
      </c>
      <c r="G87" s="16">
        <f>zápis!AF101</f>
        <v>0</v>
      </c>
      <c r="H87" s="16">
        <f>zápis!AL101</f>
        <v>755</v>
      </c>
      <c r="I87" s="16">
        <f>zápis!AR101</f>
        <v>0</v>
      </c>
      <c r="J87" s="10">
        <f t="shared" si="6"/>
        <v>2142</v>
      </c>
      <c r="K87" s="11">
        <f>zápis!AT101</f>
        <v>15</v>
      </c>
      <c r="L87" s="23">
        <f t="shared" si="7"/>
        <v>142.80000000000001</v>
      </c>
    </row>
    <row r="88" spans="1:12" s="7" customFormat="1" ht="15" customHeight="1">
      <c r="A88" s="370" t="s">
        <v>7</v>
      </c>
      <c r="B88" s="21" t="s">
        <v>105</v>
      </c>
      <c r="C88" s="15">
        <f>zápis!H116</f>
        <v>0</v>
      </c>
      <c r="D88" s="16">
        <f>zápis!N116</f>
        <v>710</v>
      </c>
      <c r="E88" s="16">
        <f>zápis!T116</f>
        <v>673</v>
      </c>
      <c r="F88" s="16">
        <f>zápis!Z116</f>
        <v>675</v>
      </c>
      <c r="G88" s="16">
        <f>zápis!AF116</f>
        <v>723</v>
      </c>
      <c r="H88" s="16">
        <f>zápis!AL116</f>
        <v>773</v>
      </c>
      <c r="I88" s="16">
        <f>zápis!AR116</f>
        <v>0</v>
      </c>
      <c r="J88" s="10">
        <f t="shared" si="6"/>
        <v>3554</v>
      </c>
      <c r="K88" s="11">
        <f>zápis!AT116</f>
        <v>25</v>
      </c>
      <c r="L88" s="23">
        <f t="shared" si="7"/>
        <v>142.16</v>
      </c>
    </row>
    <row r="89" spans="1:12" s="7" customFormat="1" ht="15" customHeight="1">
      <c r="A89" s="370" t="s">
        <v>7</v>
      </c>
      <c r="B89" s="21" t="s">
        <v>98</v>
      </c>
      <c r="C89" s="15">
        <f>zápis!H113</f>
        <v>0</v>
      </c>
      <c r="D89" s="16">
        <f>zápis!N113</f>
        <v>0</v>
      </c>
      <c r="E89" s="16">
        <f>zápis!T113</f>
        <v>665</v>
      </c>
      <c r="F89" s="16">
        <f>zápis!Z113</f>
        <v>724</v>
      </c>
      <c r="G89" s="16">
        <f>zápis!AF113</f>
        <v>0</v>
      </c>
      <c r="H89" s="16">
        <f>zápis!AL113</f>
        <v>0</v>
      </c>
      <c r="I89" s="16">
        <f>zápis!AR113</f>
        <v>0</v>
      </c>
      <c r="J89" s="10">
        <f t="shared" si="6"/>
        <v>1389</v>
      </c>
      <c r="K89" s="11">
        <f>zápis!AT113</f>
        <v>10</v>
      </c>
      <c r="L89" s="23">
        <f t="shared" si="7"/>
        <v>138.9</v>
      </c>
    </row>
    <row r="90" spans="1:12" s="7" customFormat="1" ht="15" customHeight="1">
      <c r="A90" s="370" t="s">
        <v>7</v>
      </c>
      <c r="B90" s="21" t="s">
        <v>26</v>
      </c>
      <c r="C90" s="15">
        <f>zápis!H105</f>
        <v>655</v>
      </c>
      <c r="D90" s="16">
        <f>zápis!N105</f>
        <v>656</v>
      </c>
      <c r="E90" s="16">
        <f>zápis!T105</f>
        <v>676</v>
      </c>
      <c r="F90" s="16">
        <f>zápis!Z105</f>
        <v>700</v>
      </c>
      <c r="G90" s="16">
        <f>zápis!AF105</f>
        <v>0</v>
      </c>
      <c r="H90" s="16">
        <f>zápis!AL105</f>
        <v>694</v>
      </c>
      <c r="I90" s="16">
        <f>zápis!AR105</f>
        <v>682</v>
      </c>
      <c r="J90" s="10">
        <f t="shared" si="6"/>
        <v>4063</v>
      </c>
      <c r="K90" s="11">
        <f>zápis!AT105</f>
        <v>30</v>
      </c>
      <c r="L90" s="23">
        <f t="shared" si="7"/>
        <v>135.43333333333334</v>
      </c>
    </row>
    <row r="91" spans="1:12" s="7" customFormat="1" ht="15" customHeight="1">
      <c r="A91" s="370" t="s">
        <v>7</v>
      </c>
      <c r="B91" s="21" t="s">
        <v>93</v>
      </c>
      <c r="C91" s="15">
        <f>zápis!H114</f>
        <v>673</v>
      </c>
      <c r="D91" s="16">
        <f>zápis!N114</f>
        <v>0</v>
      </c>
      <c r="E91" s="16">
        <f>zápis!T114</f>
        <v>726</v>
      </c>
      <c r="F91" s="16">
        <f>zápis!Z114</f>
        <v>569</v>
      </c>
      <c r="G91" s="16">
        <f>zápis!AF114</f>
        <v>688</v>
      </c>
      <c r="H91" s="16">
        <f>zápis!AL114</f>
        <v>596</v>
      </c>
      <c r="I91" s="16">
        <f>zápis!AR114</f>
        <v>0</v>
      </c>
      <c r="J91" s="10">
        <f t="shared" si="6"/>
        <v>3252</v>
      </c>
      <c r="K91" s="11">
        <f>zápis!AT114</f>
        <v>25</v>
      </c>
      <c r="L91" s="23">
        <f t="shared" si="7"/>
        <v>130.08000000000001</v>
      </c>
    </row>
    <row r="92" spans="1:12" s="7" customFormat="1" ht="15" customHeight="1">
      <c r="A92" s="370" t="s">
        <v>7</v>
      </c>
      <c r="B92" s="21" t="s">
        <v>127</v>
      </c>
      <c r="C92" s="15">
        <f>zápis!H100</f>
        <v>611</v>
      </c>
      <c r="D92" s="16">
        <f>zápis!N100</f>
        <v>683</v>
      </c>
      <c r="E92" s="16">
        <f>zápis!T100</f>
        <v>573</v>
      </c>
      <c r="F92" s="16">
        <f>zápis!Z100</f>
        <v>583</v>
      </c>
      <c r="G92" s="16">
        <f>zápis!AF100</f>
        <v>697</v>
      </c>
      <c r="H92" s="16">
        <f>zápis!AL100</f>
        <v>0</v>
      </c>
      <c r="I92" s="16">
        <f>zápis!AR100</f>
        <v>575</v>
      </c>
      <c r="J92" s="10">
        <f t="shared" si="6"/>
        <v>3722</v>
      </c>
      <c r="K92" s="11">
        <f>zápis!AT100</f>
        <v>30</v>
      </c>
      <c r="L92" s="23">
        <f t="shared" si="7"/>
        <v>124.06666666666666</v>
      </c>
    </row>
    <row r="93" spans="1:12" s="7" customFormat="1" ht="15" customHeight="1">
      <c r="A93" s="370" t="s">
        <v>7</v>
      </c>
      <c r="B93" s="21" t="s">
        <v>14</v>
      </c>
      <c r="C93" s="15">
        <f>zápis!H104</f>
        <v>560</v>
      </c>
      <c r="D93" s="16">
        <f>zápis!N104</f>
        <v>604</v>
      </c>
      <c r="E93" s="16">
        <f>zápis!T104</f>
        <v>605</v>
      </c>
      <c r="F93" s="16">
        <f>zápis!Z104</f>
        <v>705</v>
      </c>
      <c r="G93" s="16">
        <f>zápis!AF104</f>
        <v>619</v>
      </c>
      <c r="H93" s="16">
        <f>zápis!AL104</f>
        <v>593</v>
      </c>
      <c r="I93" s="16">
        <f>zápis!AR104</f>
        <v>640</v>
      </c>
      <c r="J93" s="10">
        <f t="shared" si="6"/>
        <v>4326</v>
      </c>
      <c r="K93" s="11">
        <f>zápis!AT104</f>
        <v>35</v>
      </c>
      <c r="L93" s="23">
        <f t="shared" si="7"/>
        <v>123.6</v>
      </c>
    </row>
    <row r="94" spans="1:12" s="7" customFormat="1" ht="15" customHeight="1">
      <c r="A94" s="370" t="s">
        <v>7</v>
      </c>
      <c r="B94" s="572" t="s">
        <v>285</v>
      </c>
      <c r="C94" s="15">
        <f>zápis!H117</f>
        <v>0</v>
      </c>
      <c r="D94" s="16">
        <f>zápis!N117</f>
        <v>0</v>
      </c>
      <c r="E94" s="16">
        <f>zápis!T117</f>
        <v>0</v>
      </c>
      <c r="F94" s="16">
        <f>zápis!Z117</f>
        <v>0</v>
      </c>
      <c r="G94" s="16">
        <f>zápis!AF117</f>
        <v>564</v>
      </c>
      <c r="H94" s="16">
        <f>zápis!AL117</f>
        <v>623</v>
      </c>
      <c r="I94" s="16">
        <f>zápis!AR117</f>
        <v>619</v>
      </c>
      <c r="J94" s="10">
        <f t="shared" si="6"/>
        <v>1806</v>
      </c>
      <c r="K94" s="11">
        <f>zápis!AT117</f>
        <v>15</v>
      </c>
      <c r="L94" s="23">
        <f t="shared" si="7"/>
        <v>120.4</v>
      </c>
    </row>
    <row r="95" spans="1:12" s="7" customFormat="1" ht="15" customHeight="1">
      <c r="A95" s="370" t="s">
        <v>7</v>
      </c>
      <c r="B95" s="21" t="s">
        <v>65</v>
      </c>
      <c r="C95" s="15">
        <f>zápis!H108</f>
        <v>589</v>
      </c>
      <c r="D95" s="16">
        <f>zápis!N108</f>
        <v>0</v>
      </c>
      <c r="E95" s="16">
        <f>zápis!T108</f>
        <v>0</v>
      </c>
      <c r="F95" s="16">
        <f>zápis!Z108</f>
        <v>0</v>
      </c>
      <c r="G95" s="16">
        <f>zápis!AF108</f>
        <v>0</v>
      </c>
      <c r="H95" s="16">
        <f>zápis!AL108</f>
        <v>0</v>
      </c>
      <c r="I95" s="16">
        <f>zápis!AR108</f>
        <v>0</v>
      </c>
      <c r="J95" s="10">
        <f t="shared" si="6"/>
        <v>589</v>
      </c>
      <c r="K95" s="11">
        <f>zápis!AT108</f>
        <v>5</v>
      </c>
      <c r="L95" s="23">
        <f t="shared" si="7"/>
        <v>117.8</v>
      </c>
    </row>
    <row r="96" spans="1:12" s="7" customFormat="1" ht="15" customHeight="1">
      <c r="A96" s="370" t="s">
        <v>7</v>
      </c>
      <c r="B96" s="21" t="s">
        <v>104</v>
      </c>
      <c r="C96" s="15">
        <f>zápis!H115</f>
        <v>571</v>
      </c>
      <c r="D96" s="16">
        <f>zápis!N115</f>
        <v>603</v>
      </c>
      <c r="E96" s="16">
        <f>zápis!T115</f>
        <v>611</v>
      </c>
      <c r="F96" s="16">
        <f>zápis!Z115</f>
        <v>601</v>
      </c>
      <c r="G96" s="16">
        <f>zápis!AF115</f>
        <v>539</v>
      </c>
      <c r="H96" s="16">
        <f>zápis!AL115</f>
        <v>598</v>
      </c>
      <c r="I96" s="16">
        <f>zápis!AR115</f>
        <v>0</v>
      </c>
      <c r="J96" s="10">
        <f t="shared" si="6"/>
        <v>3523</v>
      </c>
      <c r="K96" s="11">
        <f>zápis!AT115</f>
        <v>30</v>
      </c>
      <c r="L96" s="23">
        <f t="shared" si="7"/>
        <v>117.43333333333334</v>
      </c>
    </row>
    <row r="97" spans="1:15" s="7" customFormat="1" ht="15" customHeight="1">
      <c r="A97" s="370" t="s">
        <v>7</v>
      </c>
      <c r="B97" s="21" t="s">
        <v>292</v>
      </c>
      <c r="C97" s="15">
        <f>zápis!H107</f>
        <v>0</v>
      </c>
      <c r="D97" s="16">
        <f>zápis!N107</f>
        <v>0</v>
      </c>
      <c r="E97" s="16">
        <f>zápis!T107</f>
        <v>0</v>
      </c>
      <c r="F97" s="16">
        <f>zápis!Z107</f>
        <v>0</v>
      </c>
      <c r="G97" s="16">
        <f>zápis!AF107</f>
        <v>0</v>
      </c>
      <c r="H97" s="16">
        <f>zápis!AL107</f>
        <v>333</v>
      </c>
      <c r="I97" s="16">
        <f>zápis!AR107</f>
        <v>400</v>
      </c>
      <c r="J97" s="10">
        <f t="shared" si="6"/>
        <v>733</v>
      </c>
      <c r="K97" s="11">
        <f>zápis!AT107</f>
        <v>10</v>
      </c>
      <c r="L97" s="23">
        <f t="shared" si="7"/>
        <v>73.3</v>
      </c>
    </row>
    <row r="98" spans="1:15" s="7" customFormat="1" ht="15" customHeight="1">
      <c r="A98" s="370" t="s">
        <v>7</v>
      </c>
      <c r="B98" s="130" t="s">
        <v>11</v>
      </c>
      <c r="C98" s="15">
        <f>zápis!H102</f>
        <v>0</v>
      </c>
      <c r="D98" s="16">
        <f>zápis!N102</f>
        <v>0</v>
      </c>
      <c r="E98" s="16">
        <f>zápis!T102</f>
        <v>0</v>
      </c>
      <c r="F98" s="16">
        <f>zápis!Z102</f>
        <v>0</v>
      </c>
      <c r="G98" s="16">
        <f>zápis!AF102</f>
        <v>0</v>
      </c>
      <c r="H98" s="16">
        <f>zápis!AL102</f>
        <v>0</v>
      </c>
      <c r="I98" s="16">
        <f>zápis!AR102</f>
        <v>0</v>
      </c>
      <c r="J98" s="10"/>
      <c r="K98" s="11"/>
      <c r="L98" s="23"/>
    </row>
    <row r="99" spans="1:15" s="7" customFormat="1" ht="15" customHeight="1">
      <c r="A99" s="370" t="s">
        <v>7</v>
      </c>
      <c r="B99" s="595" t="s">
        <v>103</v>
      </c>
      <c r="C99" s="15">
        <f>zápis!H112</f>
        <v>0</v>
      </c>
      <c r="D99" s="16">
        <f>zápis!N112</f>
        <v>0</v>
      </c>
      <c r="E99" s="16">
        <f>zápis!T112</f>
        <v>0</v>
      </c>
      <c r="F99" s="16">
        <f>zápis!Z112</f>
        <v>0</v>
      </c>
      <c r="G99" s="16">
        <f>zápis!AF112</f>
        <v>0</v>
      </c>
      <c r="H99" s="16">
        <f>zápis!AL112</f>
        <v>0</v>
      </c>
      <c r="I99" s="16">
        <f>zápis!AR112</f>
        <v>0</v>
      </c>
      <c r="J99" s="10"/>
      <c r="K99" s="11"/>
      <c r="L99" s="23"/>
    </row>
    <row r="100" spans="1:15" s="7" customFormat="1" ht="15" customHeight="1">
      <c r="A100" s="370" t="s">
        <v>7</v>
      </c>
      <c r="B100" s="130" t="s">
        <v>116</v>
      </c>
      <c r="C100" s="15">
        <f>zápis!H106</f>
        <v>0</v>
      </c>
      <c r="D100" s="16">
        <f>zápis!N106</f>
        <v>0</v>
      </c>
      <c r="E100" s="16">
        <f>zápis!T106</f>
        <v>0</v>
      </c>
      <c r="F100" s="16">
        <f>zápis!Z106</f>
        <v>0</v>
      </c>
      <c r="G100" s="16">
        <f>zápis!AF106</f>
        <v>0</v>
      </c>
      <c r="H100" s="16">
        <f>zápis!AL106</f>
        <v>0</v>
      </c>
      <c r="I100" s="16">
        <f>zápis!AR106</f>
        <v>0</v>
      </c>
      <c r="J100" s="10"/>
      <c r="K100" s="11"/>
      <c r="L100" s="23"/>
    </row>
    <row r="101" spans="1:15" s="7" customFormat="1" ht="15" customHeight="1">
      <c r="A101" s="370" t="s">
        <v>7</v>
      </c>
      <c r="B101" s="131" t="s">
        <v>120</v>
      </c>
      <c r="C101" s="15">
        <f>zápis!H119</f>
        <v>0</v>
      </c>
      <c r="D101" s="16">
        <f>zápis!N119</f>
        <v>0</v>
      </c>
      <c r="E101" s="16">
        <f>zápis!T119</f>
        <v>0</v>
      </c>
      <c r="F101" s="16">
        <f>zápis!Z119</f>
        <v>0</v>
      </c>
      <c r="G101" s="16">
        <f>zápis!AF119</f>
        <v>0</v>
      </c>
      <c r="H101" s="16">
        <f>zápis!AL119</f>
        <v>0</v>
      </c>
      <c r="I101" s="16">
        <f>zápis!AR119</f>
        <v>0</v>
      </c>
      <c r="J101" s="10"/>
      <c r="K101" s="11"/>
      <c r="L101" s="23"/>
    </row>
    <row r="102" spans="1:15" s="7" customFormat="1" ht="15" customHeight="1">
      <c r="A102" s="371"/>
      <c r="B102"/>
      <c r="C102"/>
      <c r="D102" s="8"/>
      <c r="E102" s="8"/>
      <c r="F102" s="8"/>
      <c r="G102" s="8"/>
      <c r="H102" s="8"/>
      <c r="I102" s="8"/>
      <c r="J102"/>
      <c r="K102"/>
      <c r="L102"/>
    </row>
    <row r="103" spans="1:15" s="7" customFormat="1" ht="15" customHeight="1">
      <c r="A103" s="371"/>
      <c r="B103"/>
      <c r="C103"/>
      <c r="D103" s="8"/>
      <c r="E103" s="8"/>
      <c r="F103" s="8"/>
      <c r="G103" s="8"/>
      <c r="H103" s="8"/>
      <c r="I103" s="8"/>
      <c r="J103"/>
      <c r="K103"/>
      <c r="L103"/>
    </row>
    <row r="104" spans="1:15" s="7" customFormat="1" ht="15" customHeight="1">
      <c r="A104" s="371"/>
      <c r="B104"/>
      <c r="C104"/>
      <c r="D104" s="8"/>
      <c r="E104" s="8"/>
      <c r="F104" s="8"/>
      <c r="G104" s="8"/>
      <c r="H104" s="8"/>
      <c r="I104" s="8"/>
      <c r="J104"/>
      <c r="K104"/>
      <c r="L104"/>
      <c r="O104" s="7" t="s">
        <v>20</v>
      </c>
    </row>
    <row r="105" spans="1:15" s="7" customFormat="1" ht="15" customHeight="1">
      <c r="A105" s="371"/>
      <c r="B105"/>
      <c r="C105"/>
      <c r="D105" s="8"/>
      <c r="E105" s="8"/>
      <c r="F105" s="8"/>
      <c r="G105" s="8"/>
      <c r="H105" s="8"/>
      <c r="I105" s="8"/>
      <c r="J105"/>
      <c r="K105"/>
      <c r="L105"/>
    </row>
    <row r="106" spans="1:15" s="7" customFormat="1" ht="15" customHeight="1">
      <c r="A106" s="371"/>
      <c r="B106"/>
      <c r="C106"/>
      <c r="D106" s="8"/>
      <c r="E106" s="8"/>
      <c r="F106" s="8"/>
      <c r="G106" s="8"/>
      <c r="H106" s="8"/>
      <c r="I106" s="8"/>
      <c r="J106"/>
      <c r="K106"/>
      <c r="L106"/>
    </row>
    <row r="107" spans="1:15" s="7" customFormat="1" ht="15" customHeight="1">
      <c r="A107" s="371"/>
      <c r="B107"/>
      <c r="C107"/>
      <c r="D107" s="8"/>
      <c r="E107" s="8"/>
      <c r="F107" s="8"/>
      <c r="G107" s="8"/>
      <c r="H107" s="8"/>
      <c r="I107" s="8"/>
      <c r="J107"/>
      <c r="K107"/>
      <c r="L107"/>
    </row>
    <row r="108" spans="1:15" s="7" customFormat="1" ht="15" customHeight="1">
      <c r="A108" s="371"/>
      <c r="B108"/>
      <c r="C108"/>
      <c r="D108" s="8"/>
      <c r="E108" s="8"/>
      <c r="F108" s="8"/>
      <c r="G108" s="8"/>
      <c r="H108" s="8"/>
      <c r="I108" s="8"/>
      <c r="J108"/>
      <c r="K108"/>
      <c r="L108"/>
    </row>
    <row r="109" spans="1:15" s="7" customFormat="1" ht="15" customHeight="1">
      <c r="A109" s="371"/>
      <c r="B109"/>
      <c r="C109"/>
      <c r="D109" s="8"/>
      <c r="E109" s="8"/>
      <c r="F109" s="8"/>
      <c r="G109" s="8"/>
      <c r="H109" s="8"/>
      <c r="I109" s="8"/>
      <c r="J109"/>
      <c r="K109"/>
      <c r="L109"/>
    </row>
    <row r="110" spans="1:15" ht="15" customHeight="1">
      <c r="M110" s="7"/>
    </row>
    <row r="111" spans="1:15" ht="15" customHeight="1"/>
    <row r="112" spans="1:15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</sheetData>
  <phoneticPr fontId="0" type="noConversion"/>
  <conditionalFormatting sqref="A1:A1048576">
    <cfRule type="containsText" dxfId="11" priority="1" stopIfTrue="1" operator="containsText" text="Vršovice">
      <formula>NOT(ISERROR(SEARCH("Vršovice",garáže!A1)))</formula>
    </cfRule>
    <cfRule type="containsText" dxfId="10" priority="2" stopIfTrue="1" operator="containsText" text="Klíčov">
      <formula>NOT(ISERROR(SEARCH("Klíčov",garáže!A1)))</formula>
    </cfRule>
    <cfRule type="containsText" dxfId="9" priority="3" stopIfTrue="1" operator="containsText" text="Řepy">
      <formula>NOT(ISERROR(SEARCH("Řepy",garáže!A1)))</formula>
    </cfRule>
    <cfRule type="containsText" dxfId="8" priority="4" stopIfTrue="1" operator="containsText" text="Kačerov">
      <formula>NOT(ISERROR(SEARCH("Kačerov",A1)))</formula>
    </cfRule>
    <cfRule type="containsText" dxfId="7" priority="5" stopIfTrue="1" operator="containsText" text="Hostivař">
      <formula>NOT(ISERROR(SEARCH("Hostivař",A1)))</formula>
    </cfRule>
    <cfRule type="containsText" dxfId="6" priority="6" stopIfTrue="1" operator="containsText" text="Dejvice">
      <formula>NOT(ISERROR(SEARCH("Dejvice",A1)))</formula>
    </cfRule>
  </conditionalFormatting>
  <hyperlinks>
    <hyperlink ref="Q1" location="turnaje!A1" display="zpět"/>
  </hyperlinks>
  <pageMargins left="0.78740157499999996" right="0.78740157499999996" top="0.984251969" bottom="0.984251969" header="0.4921259845" footer="0.4921259845"/>
  <pageSetup paperSize="9" orientation="landscape" horizontalDpi="4294967293"/>
  <headerFooter alignWithMargins="0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15" enableFormatConditionsCalculation="0">
    <tabColor indexed="12"/>
  </sheetPr>
  <dimension ref="A1:HA58"/>
  <sheetViews>
    <sheetView showGridLines="0" showRowColHeaders="0" zoomScale="75" workbookViewId="0">
      <pane ySplit="3" topLeftCell="A4" activePane="bottomLeft" state="frozen"/>
      <selection pane="bottomLeft" activeCell="J3" sqref="J3"/>
    </sheetView>
  </sheetViews>
  <sheetFormatPr defaultColWidth="9.140625" defaultRowHeight="12.75"/>
  <cols>
    <col min="1" max="1" width="2.42578125" style="103" customWidth="1"/>
    <col min="2" max="2" width="23.7109375" style="103" customWidth="1"/>
    <col min="3" max="3" width="6.7109375" style="110" customWidth="1"/>
    <col min="4" max="4" width="2.42578125" style="103" customWidth="1"/>
    <col min="5" max="5" width="23.7109375" style="103" customWidth="1"/>
    <col min="6" max="6" width="6.7109375" style="110" customWidth="1"/>
    <col min="7" max="7" width="2.42578125" style="103" customWidth="1"/>
    <col min="8" max="8" width="23.7109375" style="103" customWidth="1"/>
    <col min="9" max="9" width="6.7109375" style="103" customWidth="1"/>
    <col min="10" max="10" width="15.42578125" style="103" customWidth="1"/>
    <col min="11" max="11" width="10.7109375" style="103" customWidth="1"/>
    <col min="12" max="12" width="11.7109375" style="103" customWidth="1"/>
    <col min="13" max="13" width="6.7109375" style="103" customWidth="1"/>
    <col min="14" max="14" width="3" style="103" customWidth="1"/>
    <col min="15" max="15" width="10.7109375" style="103" customWidth="1"/>
    <col min="16" max="16" width="17.7109375" style="103" customWidth="1"/>
    <col min="17" max="17" width="6.7109375" style="103" customWidth="1"/>
    <col min="18" max="18" width="15.42578125" style="103" customWidth="1"/>
    <col min="19" max="19" width="8.140625" style="103" customWidth="1"/>
    <col min="20" max="21" width="4.140625" style="103" customWidth="1"/>
    <col min="22" max="22" width="44.28515625" style="103" customWidth="1"/>
    <col min="23" max="23" width="18.140625" style="103" customWidth="1"/>
    <col min="24" max="24" width="9.140625" style="103"/>
    <col min="25" max="25" width="23.7109375" style="103" customWidth="1"/>
    <col min="26" max="26" width="6.7109375" style="103" customWidth="1"/>
    <col min="27" max="27" width="3.7109375" style="103" customWidth="1"/>
    <col min="28" max="28" width="23.7109375" style="103" customWidth="1"/>
    <col min="29" max="29" width="6.7109375" style="103" customWidth="1"/>
    <col min="30" max="30" width="3.7109375" style="103" customWidth="1"/>
    <col min="31" max="31" width="23.7109375" style="103" customWidth="1"/>
    <col min="32" max="32" width="6.7109375" style="103" customWidth="1"/>
    <col min="33" max="33" width="3.7109375" style="103" customWidth="1"/>
    <col min="34" max="34" width="23.7109375" style="103" customWidth="1"/>
    <col min="35" max="35" width="6.7109375" style="103" customWidth="1"/>
    <col min="36" max="36" width="3.7109375" style="103" customWidth="1"/>
    <col min="37" max="37" width="23.7109375" style="103" customWidth="1"/>
    <col min="38" max="38" width="6.7109375" style="103" customWidth="1"/>
    <col min="39" max="50" width="9.140625" style="103"/>
    <col min="51" max="51" width="23.7109375" style="103" customWidth="1"/>
    <col min="52" max="52" width="6.7109375" style="103" customWidth="1"/>
    <col min="53" max="53" width="3.7109375" style="103" customWidth="1"/>
    <col min="54" max="54" width="23.7109375" style="103" customWidth="1"/>
    <col min="55" max="55" width="6.7109375" style="103" customWidth="1"/>
    <col min="56" max="56" width="3.7109375" style="103" customWidth="1"/>
    <col min="57" max="57" width="23.7109375" style="103" customWidth="1"/>
    <col min="58" max="58" width="6.7109375" style="103" customWidth="1"/>
    <col min="59" max="59" width="3.7109375" style="103" customWidth="1"/>
    <col min="60" max="60" width="23.7109375" style="103" customWidth="1"/>
    <col min="61" max="61" width="6.7109375" style="103" customWidth="1"/>
    <col min="62" max="62" width="3.7109375" style="103" customWidth="1"/>
    <col min="63" max="63" width="23.7109375" style="103" customWidth="1"/>
    <col min="64" max="64" width="6.7109375" style="103" customWidth="1"/>
    <col min="65" max="76" width="9.140625" style="103"/>
    <col min="77" max="77" width="23.7109375" style="103" customWidth="1"/>
    <col min="78" max="78" width="6.7109375" style="103" customWidth="1"/>
    <col min="79" max="79" width="3.7109375" style="103" customWidth="1"/>
    <col min="80" max="80" width="23.7109375" style="103" customWidth="1"/>
    <col min="81" max="81" width="6.7109375" style="103" customWidth="1"/>
    <col min="82" max="82" width="3.7109375" style="103" customWidth="1"/>
    <col min="83" max="83" width="23.7109375" style="103" customWidth="1"/>
    <col min="84" max="84" width="6.7109375" style="103" customWidth="1"/>
    <col min="85" max="85" width="3.7109375" style="103" customWidth="1"/>
    <col min="86" max="86" width="23.7109375" style="103" customWidth="1"/>
    <col min="87" max="87" width="6.7109375" style="103" customWidth="1"/>
    <col min="88" max="88" width="3.7109375" style="103" customWidth="1"/>
    <col min="89" max="89" width="23.7109375" style="103" customWidth="1"/>
    <col min="90" max="90" width="6.7109375" style="103" customWidth="1"/>
    <col min="91" max="102" width="9.140625" style="103"/>
    <col min="103" max="103" width="23.7109375" style="103" customWidth="1"/>
    <col min="104" max="104" width="6.7109375" style="103" customWidth="1"/>
    <col min="105" max="105" width="3.7109375" style="103" customWidth="1"/>
    <col min="106" max="106" width="23.7109375" style="103" customWidth="1"/>
    <col min="107" max="107" width="6.7109375" style="103" customWidth="1"/>
    <col min="108" max="108" width="3.7109375" style="103" customWidth="1"/>
    <col min="109" max="109" width="23.7109375" style="103" customWidth="1"/>
    <col min="110" max="110" width="6.7109375" style="103" customWidth="1"/>
    <col min="111" max="111" width="3.7109375" style="103" customWidth="1"/>
    <col min="112" max="112" width="23.7109375" style="103" customWidth="1"/>
    <col min="113" max="113" width="6.7109375" style="103" customWidth="1"/>
    <col min="114" max="114" width="3.7109375" style="103" customWidth="1"/>
    <col min="115" max="115" width="23.7109375" style="103" customWidth="1"/>
    <col min="116" max="116" width="6.7109375" style="103" customWidth="1"/>
    <col min="117" max="128" width="9.140625" style="103"/>
    <col min="129" max="129" width="23.7109375" style="103" customWidth="1"/>
    <col min="130" max="130" width="6.7109375" style="103" customWidth="1"/>
    <col min="131" max="131" width="3.7109375" style="103" customWidth="1"/>
    <col min="132" max="132" width="23.7109375" style="103" customWidth="1"/>
    <col min="133" max="133" width="6.7109375" style="103" customWidth="1"/>
    <col min="134" max="134" width="3.7109375" style="103" customWidth="1"/>
    <col min="135" max="135" width="23.7109375" style="103" customWidth="1"/>
    <col min="136" max="136" width="6.7109375" style="103" customWidth="1"/>
    <col min="137" max="137" width="3.7109375" style="103" customWidth="1"/>
    <col min="138" max="138" width="23.7109375" style="103" customWidth="1"/>
    <col min="139" max="139" width="6.7109375" style="103" customWidth="1"/>
    <col min="140" max="140" width="3.7109375" style="103" customWidth="1"/>
    <col min="141" max="141" width="23.7109375" style="103" customWidth="1"/>
    <col min="142" max="142" width="6.7109375" style="103" customWidth="1"/>
    <col min="143" max="154" width="9.140625" style="103"/>
    <col min="155" max="155" width="23.7109375" style="103" customWidth="1"/>
    <col min="156" max="156" width="6.7109375" style="103" customWidth="1"/>
    <col min="157" max="157" width="3.7109375" style="103" customWidth="1"/>
    <col min="158" max="158" width="23.7109375" style="103" customWidth="1"/>
    <col min="159" max="159" width="6.7109375" style="103" customWidth="1"/>
    <col min="160" max="160" width="3.7109375" style="103" customWidth="1"/>
    <col min="161" max="161" width="23.7109375" style="103" customWidth="1"/>
    <col min="162" max="162" width="6.7109375" style="103" customWidth="1"/>
    <col min="163" max="163" width="3.7109375" style="103" customWidth="1"/>
    <col min="164" max="164" width="23.7109375" style="103" customWidth="1"/>
    <col min="165" max="165" width="6.7109375" style="103" customWidth="1"/>
    <col min="166" max="166" width="3.7109375" style="103" customWidth="1"/>
    <col min="167" max="167" width="23.7109375" style="103" customWidth="1"/>
    <col min="168" max="168" width="6.7109375" style="103" customWidth="1"/>
    <col min="169" max="180" width="9.140625" style="103"/>
    <col min="181" max="181" width="23.7109375" style="103" customWidth="1"/>
    <col min="182" max="182" width="6.7109375" style="103" customWidth="1"/>
    <col min="183" max="183" width="3.7109375" style="103" customWidth="1"/>
    <col min="184" max="184" width="23.7109375" style="103" customWidth="1"/>
    <col min="185" max="185" width="6.7109375" style="103" customWidth="1"/>
    <col min="186" max="186" width="3.7109375" style="103" customWidth="1"/>
    <col min="187" max="187" width="23.7109375" style="103" customWidth="1"/>
    <col min="188" max="188" width="6.7109375" style="103" customWidth="1"/>
    <col min="189" max="189" width="3.7109375" style="103" customWidth="1"/>
    <col min="190" max="190" width="23.7109375" style="103" customWidth="1"/>
    <col min="191" max="191" width="6.7109375" style="103" customWidth="1"/>
    <col min="192" max="192" width="3.7109375" style="103" customWidth="1"/>
    <col min="193" max="193" width="23.7109375" style="103" customWidth="1"/>
    <col min="194" max="194" width="6.7109375" style="103" customWidth="1"/>
    <col min="195" max="16384" width="9.140625" style="103"/>
  </cols>
  <sheetData>
    <row r="1" spans="1:209" ht="22.5" customHeight="1">
      <c r="A1" s="592"/>
      <c r="B1" s="935" t="s">
        <v>277</v>
      </c>
      <c r="C1" s="936"/>
      <c r="D1" s="936"/>
      <c r="E1" s="936"/>
      <c r="F1" s="936"/>
      <c r="G1" s="936"/>
      <c r="H1" s="936"/>
      <c r="I1" s="936"/>
      <c r="J1" s="936"/>
      <c r="K1" s="936"/>
      <c r="L1" s="936"/>
      <c r="M1" s="936"/>
      <c r="N1" s="936"/>
      <c r="O1" s="936"/>
      <c r="P1" s="936"/>
      <c r="Q1" s="936"/>
      <c r="R1" s="517"/>
      <c r="S1" s="517"/>
      <c r="T1" s="517"/>
      <c r="U1" s="517"/>
      <c r="V1" s="102"/>
      <c r="W1" s="102"/>
      <c r="X1" s="953" t="s">
        <v>121</v>
      </c>
      <c r="Y1" s="951">
        <v>41293</v>
      </c>
      <c r="Z1" s="952"/>
      <c r="AA1" s="952"/>
      <c r="AB1" s="952"/>
      <c r="AC1" s="952"/>
      <c r="AD1" s="952"/>
      <c r="AE1" s="952"/>
      <c r="AF1" s="952"/>
      <c r="AG1" s="952"/>
      <c r="AH1" s="952"/>
      <c r="AI1" s="952"/>
      <c r="AJ1" s="952"/>
      <c r="AK1" s="952"/>
      <c r="AL1" s="952"/>
      <c r="AM1" s="138"/>
      <c r="AN1" s="138"/>
      <c r="AO1" s="138"/>
      <c r="AP1" s="138"/>
      <c r="AQ1" s="138"/>
      <c r="AR1" s="138"/>
      <c r="AS1" s="138"/>
      <c r="AT1" s="138"/>
      <c r="AU1" s="138"/>
      <c r="AV1" s="138"/>
      <c r="AW1" s="138"/>
      <c r="AX1" s="953" t="s">
        <v>121</v>
      </c>
      <c r="AY1" s="956" t="s">
        <v>215</v>
      </c>
      <c r="AZ1" s="957"/>
      <c r="BA1" s="957"/>
      <c r="BB1" s="957"/>
      <c r="BC1" s="957"/>
      <c r="BD1" s="957"/>
      <c r="BE1" s="957"/>
      <c r="BF1" s="957"/>
      <c r="BG1" s="957"/>
      <c r="BH1" s="957"/>
      <c r="BI1" s="957"/>
      <c r="BJ1" s="957"/>
      <c r="BK1" s="957"/>
      <c r="BL1" s="957"/>
      <c r="BM1" s="138"/>
      <c r="BN1" s="138"/>
      <c r="BO1" s="138"/>
      <c r="BP1" s="138"/>
      <c r="BQ1" s="138"/>
      <c r="BR1" s="138"/>
      <c r="BS1" s="138"/>
      <c r="BT1" s="138"/>
      <c r="BU1" s="138"/>
      <c r="BV1" s="138"/>
      <c r="BW1" s="138"/>
      <c r="BX1" s="953" t="s">
        <v>121</v>
      </c>
      <c r="BY1" s="958" t="s">
        <v>214</v>
      </c>
      <c r="BZ1" s="959"/>
      <c r="CA1" s="959"/>
      <c r="CB1" s="959"/>
      <c r="CC1" s="959"/>
      <c r="CD1" s="959"/>
      <c r="CE1" s="959"/>
      <c r="CF1" s="959"/>
      <c r="CG1" s="959"/>
      <c r="CH1" s="959"/>
      <c r="CI1" s="959"/>
      <c r="CJ1" s="959"/>
      <c r="CK1" s="959"/>
      <c r="CL1" s="959"/>
      <c r="CM1" s="138"/>
      <c r="CN1" s="138"/>
      <c r="CO1" s="138"/>
      <c r="CP1" s="138"/>
      <c r="CQ1" s="138"/>
      <c r="CR1" s="138"/>
      <c r="CS1" s="138"/>
      <c r="CT1" s="138"/>
      <c r="CU1" s="138"/>
      <c r="CV1" s="138"/>
      <c r="CW1" s="138"/>
      <c r="CX1" s="953" t="s">
        <v>121</v>
      </c>
      <c r="CY1" s="960" t="s">
        <v>216</v>
      </c>
      <c r="CZ1" s="961"/>
      <c r="DA1" s="961"/>
      <c r="DB1" s="961"/>
      <c r="DC1" s="961"/>
      <c r="DD1" s="961"/>
      <c r="DE1" s="961"/>
      <c r="DF1" s="961"/>
      <c r="DG1" s="961"/>
      <c r="DH1" s="961"/>
      <c r="DI1" s="961"/>
      <c r="DJ1" s="961"/>
      <c r="DK1" s="961"/>
      <c r="DL1" s="961"/>
      <c r="DM1" s="138"/>
      <c r="DN1" s="138"/>
      <c r="DO1" s="138"/>
      <c r="DP1" s="138"/>
      <c r="DQ1" s="138"/>
      <c r="DR1" s="138"/>
      <c r="DS1" s="138"/>
      <c r="DT1" s="138"/>
      <c r="DU1" s="138"/>
      <c r="DV1" s="138"/>
      <c r="DW1" s="138"/>
      <c r="DX1" s="953" t="s">
        <v>121</v>
      </c>
      <c r="DY1" s="962" t="s">
        <v>273</v>
      </c>
      <c r="DZ1" s="963"/>
      <c r="EA1" s="963"/>
      <c r="EB1" s="963"/>
      <c r="EC1" s="963"/>
      <c r="ED1" s="963"/>
      <c r="EE1" s="963"/>
      <c r="EF1" s="963"/>
      <c r="EG1" s="963"/>
      <c r="EH1" s="963"/>
      <c r="EI1" s="963"/>
      <c r="EJ1" s="963"/>
      <c r="EK1" s="963"/>
      <c r="EL1" s="963"/>
      <c r="EM1" s="138"/>
      <c r="EN1" s="138"/>
      <c r="EO1" s="138"/>
      <c r="EP1" s="138"/>
      <c r="EQ1" s="138"/>
      <c r="ER1" s="138"/>
      <c r="ES1" s="138"/>
      <c r="ET1" s="138"/>
      <c r="EU1" s="138"/>
      <c r="EV1" s="138"/>
      <c r="EW1" s="138"/>
      <c r="EX1" s="953" t="s">
        <v>121</v>
      </c>
      <c r="EY1" s="954" t="s">
        <v>276</v>
      </c>
      <c r="EZ1" s="955"/>
      <c r="FA1" s="955"/>
      <c r="FB1" s="955"/>
      <c r="FC1" s="955"/>
      <c r="FD1" s="955"/>
      <c r="FE1" s="955"/>
      <c r="FF1" s="955"/>
      <c r="FG1" s="955"/>
      <c r="FH1" s="955"/>
      <c r="FI1" s="955"/>
      <c r="FJ1" s="955"/>
      <c r="FK1" s="955"/>
      <c r="FL1" s="955"/>
      <c r="FM1" s="138"/>
      <c r="FN1" s="138"/>
      <c r="FO1" s="138"/>
      <c r="FP1" s="138"/>
      <c r="FQ1" s="138"/>
      <c r="FR1" s="138"/>
      <c r="FS1" s="138"/>
      <c r="FT1" s="138"/>
      <c r="FU1" s="138"/>
      <c r="FV1" s="138"/>
      <c r="FW1" s="138"/>
      <c r="FX1" s="953" t="s">
        <v>121</v>
      </c>
      <c r="FY1" s="964" t="s">
        <v>300</v>
      </c>
      <c r="FZ1" s="965"/>
      <c r="GA1" s="965"/>
      <c r="GB1" s="965"/>
      <c r="GC1" s="965"/>
      <c r="GD1" s="965"/>
      <c r="GE1" s="965"/>
      <c r="GF1" s="965"/>
      <c r="GG1" s="965"/>
      <c r="GH1" s="965"/>
      <c r="GI1" s="965"/>
      <c r="GJ1" s="965"/>
      <c r="GK1" s="965"/>
      <c r="GL1" s="966"/>
      <c r="GM1" s="858"/>
      <c r="GN1" s="858"/>
      <c r="GO1" s="858"/>
      <c r="GP1" s="858"/>
      <c r="GQ1" s="858"/>
      <c r="GR1" s="858"/>
      <c r="GS1" s="858"/>
      <c r="GT1" s="858"/>
      <c r="GU1" s="858"/>
      <c r="GV1" s="858"/>
      <c r="GW1" s="858"/>
      <c r="GX1" s="858"/>
      <c r="GY1" s="858"/>
      <c r="GZ1" s="858"/>
      <c r="HA1" s="858"/>
    </row>
    <row r="2" spans="1:209" ht="39.75" customHeight="1">
      <c r="A2" s="592"/>
      <c r="B2" s="931" t="s">
        <v>23</v>
      </c>
      <c r="C2" s="931"/>
      <c r="D2" s="104"/>
      <c r="E2" s="931" t="s">
        <v>24</v>
      </c>
      <c r="F2" s="931"/>
      <c r="G2" s="591"/>
      <c r="H2" s="931" t="s">
        <v>25</v>
      </c>
      <c r="I2" s="931"/>
      <c r="J2" s="534" t="s">
        <v>278</v>
      </c>
      <c r="K2" s="933" t="s">
        <v>108</v>
      </c>
      <c r="L2" s="933"/>
      <c r="M2" s="933"/>
      <c r="N2" s="933"/>
      <c r="O2" s="933"/>
      <c r="P2" s="933"/>
      <c r="Q2" s="933"/>
      <c r="R2" s="102"/>
      <c r="S2" s="102"/>
      <c r="T2" s="102"/>
      <c r="U2" s="102"/>
      <c r="V2" s="102"/>
      <c r="W2" s="102"/>
      <c r="X2" s="953"/>
      <c r="Y2" s="949" t="s">
        <v>38</v>
      </c>
      <c r="Z2" s="949"/>
      <c r="AA2" s="139"/>
      <c r="AB2" s="949" t="s">
        <v>39</v>
      </c>
      <c r="AC2" s="949"/>
      <c r="AD2" s="139"/>
      <c r="AE2" s="949" t="s">
        <v>23</v>
      </c>
      <c r="AF2" s="949"/>
      <c r="AG2" s="139"/>
      <c r="AH2" s="949" t="s">
        <v>24</v>
      </c>
      <c r="AI2" s="949"/>
      <c r="AJ2" s="139"/>
      <c r="AK2" s="949" t="s">
        <v>64</v>
      </c>
      <c r="AL2" s="949"/>
      <c r="AM2" s="138"/>
      <c r="AN2" s="138"/>
      <c r="AO2" s="138"/>
      <c r="AP2" s="138"/>
      <c r="AQ2" s="138"/>
      <c r="AR2" s="138"/>
      <c r="AS2" s="138"/>
      <c r="AT2" s="138"/>
      <c r="AU2" s="138"/>
      <c r="AV2" s="138"/>
      <c r="AW2" s="138"/>
      <c r="AX2" s="953"/>
      <c r="AY2" s="949" t="s">
        <v>38</v>
      </c>
      <c r="AZ2" s="949"/>
      <c r="BA2" s="139"/>
      <c r="BB2" s="949" t="s">
        <v>39</v>
      </c>
      <c r="BC2" s="949"/>
      <c r="BD2" s="139"/>
      <c r="BE2" s="949" t="s">
        <v>23</v>
      </c>
      <c r="BF2" s="949"/>
      <c r="BG2" s="139"/>
      <c r="BH2" s="949" t="s">
        <v>24</v>
      </c>
      <c r="BI2" s="949"/>
      <c r="BJ2" s="139"/>
      <c r="BK2" s="949" t="s">
        <v>64</v>
      </c>
      <c r="BL2" s="949"/>
      <c r="BM2" s="138"/>
      <c r="BN2" s="138"/>
      <c r="BO2" s="138"/>
      <c r="BP2" s="138"/>
      <c r="BQ2" s="138"/>
      <c r="BR2" s="138"/>
      <c r="BS2" s="138"/>
      <c r="BT2" s="138"/>
      <c r="BU2" s="138"/>
      <c r="BV2" s="138"/>
      <c r="BW2" s="138"/>
      <c r="BX2" s="953"/>
      <c r="BY2" s="949" t="s">
        <v>38</v>
      </c>
      <c r="BZ2" s="949"/>
      <c r="CA2" s="139"/>
      <c r="CB2" s="949" t="s">
        <v>39</v>
      </c>
      <c r="CC2" s="949"/>
      <c r="CD2" s="139"/>
      <c r="CE2" s="949" t="s">
        <v>23</v>
      </c>
      <c r="CF2" s="949"/>
      <c r="CG2" s="139"/>
      <c r="CH2" s="949" t="s">
        <v>24</v>
      </c>
      <c r="CI2" s="949"/>
      <c r="CJ2" s="139"/>
      <c r="CK2" s="949" t="s">
        <v>64</v>
      </c>
      <c r="CL2" s="949"/>
      <c r="CM2" s="138"/>
      <c r="CN2" s="138"/>
      <c r="CO2" s="138"/>
      <c r="CP2" s="138"/>
      <c r="CQ2" s="138"/>
      <c r="CR2" s="138"/>
      <c r="CS2" s="138"/>
      <c r="CT2" s="138"/>
      <c r="CU2" s="138"/>
      <c r="CV2" s="138"/>
      <c r="CW2" s="138"/>
      <c r="CX2" s="953"/>
      <c r="CY2" s="949" t="s">
        <v>38</v>
      </c>
      <c r="CZ2" s="949"/>
      <c r="DA2" s="139"/>
      <c r="DB2" s="949" t="s">
        <v>39</v>
      </c>
      <c r="DC2" s="949"/>
      <c r="DD2" s="139"/>
      <c r="DE2" s="949" t="s">
        <v>23</v>
      </c>
      <c r="DF2" s="949"/>
      <c r="DG2" s="139"/>
      <c r="DH2" s="949" t="s">
        <v>24</v>
      </c>
      <c r="DI2" s="949"/>
      <c r="DJ2" s="139"/>
      <c r="DK2" s="949" t="s">
        <v>64</v>
      </c>
      <c r="DL2" s="949"/>
      <c r="DM2" s="138"/>
      <c r="DN2" s="138"/>
      <c r="DO2" s="138"/>
      <c r="DP2" s="138"/>
      <c r="DQ2" s="138"/>
      <c r="DR2" s="138"/>
      <c r="DS2" s="138"/>
      <c r="DT2" s="138"/>
      <c r="DU2" s="138"/>
      <c r="DV2" s="138"/>
      <c r="DW2" s="138"/>
      <c r="DX2" s="953"/>
      <c r="DY2" s="949" t="s">
        <v>38</v>
      </c>
      <c r="DZ2" s="949"/>
      <c r="EA2" s="139"/>
      <c r="EB2" s="949" t="s">
        <v>39</v>
      </c>
      <c r="EC2" s="949"/>
      <c r="ED2" s="139"/>
      <c r="EE2" s="949" t="s">
        <v>23</v>
      </c>
      <c r="EF2" s="949"/>
      <c r="EG2" s="139"/>
      <c r="EH2" s="949" t="s">
        <v>24</v>
      </c>
      <c r="EI2" s="949"/>
      <c r="EJ2" s="139"/>
      <c r="EK2" s="949" t="s">
        <v>64</v>
      </c>
      <c r="EL2" s="949"/>
      <c r="EM2" s="138"/>
      <c r="EN2" s="138"/>
      <c r="EO2" s="138"/>
      <c r="EP2" s="138"/>
      <c r="EQ2" s="138"/>
      <c r="ER2" s="138"/>
      <c r="ES2" s="138"/>
      <c r="ET2" s="138"/>
      <c r="EU2" s="138"/>
      <c r="EV2" s="138"/>
      <c r="EW2" s="138"/>
      <c r="EX2" s="953"/>
      <c r="EY2" s="949" t="s">
        <v>38</v>
      </c>
      <c r="EZ2" s="949"/>
      <c r="FA2" s="139"/>
      <c r="FB2" s="949" t="s">
        <v>39</v>
      </c>
      <c r="FC2" s="949"/>
      <c r="FD2" s="139"/>
      <c r="FE2" s="949" t="s">
        <v>23</v>
      </c>
      <c r="FF2" s="949"/>
      <c r="FG2" s="139"/>
      <c r="FH2" s="949" t="s">
        <v>24</v>
      </c>
      <c r="FI2" s="949"/>
      <c r="FJ2" s="139"/>
      <c r="FK2" s="949" t="s">
        <v>64</v>
      </c>
      <c r="FL2" s="949"/>
      <c r="FM2" s="138"/>
      <c r="FN2" s="138"/>
      <c r="FO2" s="138"/>
      <c r="FP2" s="138"/>
      <c r="FQ2" s="138"/>
      <c r="FR2" s="138"/>
      <c r="FS2" s="138"/>
      <c r="FT2" s="138"/>
      <c r="FU2" s="138"/>
      <c r="FV2" s="138"/>
      <c r="FW2" s="138"/>
      <c r="FX2" s="953"/>
      <c r="FY2" s="949" t="s">
        <v>38</v>
      </c>
      <c r="FZ2" s="949"/>
      <c r="GA2" s="139"/>
      <c r="GB2" s="949" t="s">
        <v>39</v>
      </c>
      <c r="GC2" s="949"/>
      <c r="GD2" s="139"/>
      <c r="GE2" s="949" t="s">
        <v>23</v>
      </c>
      <c r="GF2" s="949"/>
      <c r="GG2" s="139"/>
      <c r="GH2" s="949" t="s">
        <v>24</v>
      </c>
      <c r="GI2" s="949"/>
      <c r="GJ2" s="139"/>
      <c r="GK2" s="949" t="s">
        <v>64</v>
      </c>
      <c r="GL2" s="949"/>
      <c r="GM2" s="858"/>
      <c r="GN2" s="858"/>
      <c r="GO2" s="858"/>
      <c r="GP2" s="858"/>
      <c r="GQ2" s="858"/>
      <c r="GR2" s="858"/>
      <c r="GS2" s="858"/>
      <c r="GT2" s="858"/>
      <c r="GU2" s="858"/>
      <c r="GV2" s="858"/>
      <c r="GW2" s="858"/>
      <c r="GX2" s="858"/>
      <c r="GY2" s="858"/>
      <c r="GZ2" s="858"/>
      <c r="HA2" s="858"/>
    </row>
    <row r="3" spans="1:209" ht="30" customHeight="1">
      <c r="A3" s="593"/>
      <c r="B3" s="932"/>
      <c r="C3" s="932"/>
      <c r="D3" s="102" t="s">
        <v>20</v>
      </c>
      <c r="E3" s="932"/>
      <c r="F3" s="932"/>
      <c r="G3" s="102"/>
      <c r="H3" s="932"/>
      <c r="I3" s="932"/>
      <c r="J3" s="601" t="s">
        <v>110</v>
      </c>
      <c r="K3" s="939" t="s">
        <v>109</v>
      </c>
      <c r="L3" s="940"/>
      <c r="M3" s="941"/>
      <c r="N3" s="102"/>
      <c r="O3" s="942" t="s">
        <v>110</v>
      </c>
      <c r="P3" s="943"/>
      <c r="Q3" s="944"/>
      <c r="R3" s="102"/>
      <c r="S3" s="102"/>
      <c r="T3" s="102"/>
      <c r="U3" s="102"/>
      <c r="V3" s="102"/>
      <c r="W3" s="102"/>
      <c r="X3" s="953"/>
      <c r="Y3" s="950"/>
      <c r="Z3" s="950"/>
      <c r="AA3" s="6"/>
      <c r="AB3" s="950"/>
      <c r="AC3" s="950"/>
      <c r="AD3" s="6"/>
      <c r="AE3" s="950"/>
      <c r="AF3" s="950"/>
      <c r="AG3" s="6" t="s">
        <v>20</v>
      </c>
      <c r="AH3" s="950"/>
      <c r="AI3" s="950"/>
      <c r="AJ3" s="6"/>
      <c r="AK3" s="950"/>
      <c r="AL3" s="950"/>
      <c r="AM3" s="138"/>
      <c r="AN3" s="138"/>
      <c r="AO3" s="138"/>
      <c r="AP3" s="138"/>
      <c r="AQ3" s="138"/>
      <c r="AR3" s="138"/>
      <c r="AS3" s="138"/>
      <c r="AT3" s="138"/>
      <c r="AU3" s="138"/>
      <c r="AV3" s="138"/>
      <c r="AW3" s="138"/>
      <c r="AX3" s="953"/>
      <c r="AY3" s="950"/>
      <c r="AZ3" s="950"/>
      <c r="BA3" s="6"/>
      <c r="BB3" s="950"/>
      <c r="BC3" s="950"/>
      <c r="BD3" s="6"/>
      <c r="BE3" s="950"/>
      <c r="BF3" s="950"/>
      <c r="BG3" s="6" t="s">
        <v>20</v>
      </c>
      <c r="BH3" s="950"/>
      <c r="BI3" s="950"/>
      <c r="BJ3" s="6"/>
      <c r="BK3" s="950"/>
      <c r="BL3" s="950"/>
      <c r="BM3" s="138"/>
      <c r="BN3" s="138"/>
      <c r="BO3" s="138"/>
      <c r="BP3" s="138"/>
      <c r="BQ3" s="138"/>
      <c r="BR3" s="138"/>
      <c r="BS3" s="138"/>
      <c r="BT3" s="138"/>
      <c r="BU3" s="138"/>
      <c r="BV3" s="138"/>
      <c r="BW3" s="138"/>
      <c r="BX3" s="953"/>
      <c r="BY3" s="950"/>
      <c r="BZ3" s="950"/>
      <c r="CA3" s="6"/>
      <c r="CB3" s="950"/>
      <c r="CC3" s="950"/>
      <c r="CD3" s="6"/>
      <c r="CE3" s="950"/>
      <c r="CF3" s="950"/>
      <c r="CG3" s="6" t="s">
        <v>20</v>
      </c>
      <c r="CH3" s="950"/>
      <c r="CI3" s="950"/>
      <c r="CJ3" s="6"/>
      <c r="CK3" s="950"/>
      <c r="CL3" s="950"/>
      <c r="CM3" s="138"/>
      <c r="CN3" s="138"/>
      <c r="CO3" s="138"/>
      <c r="CP3" s="138"/>
      <c r="CQ3" s="138"/>
      <c r="CR3" s="138"/>
      <c r="CS3" s="138"/>
      <c r="CT3" s="138"/>
      <c r="CU3" s="138"/>
      <c r="CV3" s="138"/>
      <c r="CW3" s="138"/>
      <c r="CX3" s="953"/>
      <c r="CY3" s="950"/>
      <c r="CZ3" s="950"/>
      <c r="DA3" s="6"/>
      <c r="DB3" s="950"/>
      <c r="DC3" s="950"/>
      <c r="DD3" s="6"/>
      <c r="DE3" s="950"/>
      <c r="DF3" s="950"/>
      <c r="DG3" s="6" t="s">
        <v>20</v>
      </c>
      <c r="DH3" s="950"/>
      <c r="DI3" s="950"/>
      <c r="DJ3" s="6"/>
      <c r="DK3" s="950"/>
      <c r="DL3" s="950"/>
      <c r="DM3" s="138"/>
      <c r="DN3" s="138"/>
      <c r="DO3" s="138"/>
      <c r="DP3" s="138"/>
      <c r="DQ3" s="138"/>
      <c r="DR3" s="138"/>
      <c r="DS3" s="138"/>
      <c r="DT3" s="138"/>
      <c r="DU3" s="138"/>
      <c r="DV3" s="138"/>
      <c r="DW3" s="138"/>
      <c r="DX3" s="953"/>
      <c r="DY3" s="950"/>
      <c r="DZ3" s="950"/>
      <c r="EA3" s="6"/>
      <c r="EB3" s="950"/>
      <c r="EC3" s="950"/>
      <c r="ED3" s="6"/>
      <c r="EE3" s="950"/>
      <c r="EF3" s="950"/>
      <c r="EG3" s="6" t="s">
        <v>20</v>
      </c>
      <c r="EH3" s="950"/>
      <c r="EI3" s="950"/>
      <c r="EJ3" s="6"/>
      <c r="EK3" s="950"/>
      <c r="EL3" s="950"/>
      <c r="EM3" s="138"/>
      <c r="EN3" s="138"/>
      <c r="EO3" s="138"/>
      <c r="EP3" s="138"/>
      <c r="EQ3" s="138"/>
      <c r="ER3" s="138"/>
      <c r="ES3" s="138"/>
      <c r="ET3" s="138"/>
      <c r="EU3" s="138"/>
      <c r="EV3" s="138"/>
      <c r="EW3" s="138"/>
      <c r="EX3" s="953"/>
      <c r="EY3" s="950"/>
      <c r="EZ3" s="950"/>
      <c r="FA3" s="6"/>
      <c r="FB3" s="950"/>
      <c r="FC3" s="950"/>
      <c r="FD3" s="6"/>
      <c r="FE3" s="950"/>
      <c r="FF3" s="950"/>
      <c r="FG3" s="6" t="s">
        <v>20</v>
      </c>
      <c r="FH3" s="950"/>
      <c r="FI3" s="950"/>
      <c r="FJ3" s="6"/>
      <c r="FK3" s="950"/>
      <c r="FL3" s="950"/>
      <c r="FM3" s="138"/>
      <c r="FN3" s="138"/>
      <c r="FO3" s="138"/>
      <c r="FP3" s="138"/>
      <c r="FQ3" s="138"/>
      <c r="FR3" s="138"/>
      <c r="FS3" s="138"/>
      <c r="FT3" s="138"/>
      <c r="FU3" s="138"/>
      <c r="FV3" s="138"/>
      <c r="FW3" s="138"/>
      <c r="FX3" s="953"/>
      <c r="FY3" s="950"/>
      <c r="FZ3" s="950"/>
      <c r="GA3" s="839"/>
      <c r="GB3" s="950"/>
      <c r="GC3" s="950"/>
      <c r="GD3" s="839"/>
      <c r="GE3" s="950"/>
      <c r="GF3" s="950"/>
      <c r="GG3" s="857" t="s">
        <v>20</v>
      </c>
      <c r="GH3" s="950"/>
      <c r="GI3" s="950"/>
      <c r="GJ3" s="839"/>
      <c r="GK3" s="950"/>
      <c r="GL3" s="950"/>
      <c r="GM3" s="858"/>
      <c r="GN3" s="858"/>
      <c r="GO3" s="858"/>
      <c r="GP3" s="858"/>
      <c r="GQ3" s="858"/>
      <c r="GR3" s="858"/>
      <c r="GS3" s="858"/>
      <c r="GT3" s="858"/>
      <c r="GU3" s="858"/>
      <c r="GV3" s="858"/>
      <c r="GW3" s="858"/>
      <c r="GX3" s="858"/>
      <c r="GY3" s="858"/>
      <c r="GZ3" s="858"/>
      <c r="HA3" s="858"/>
    </row>
    <row r="4" spans="1:209" ht="15.75">
      <c r="B4" s="859" t="s">
        <v>9</v>
      </c>
      <c r="C4" s="860">
        <v>243</v>
      </c>
      <c r="D4" s="105"/>
      <c r="E4" s="861" t="s">
        <v>292</v>
      </c>
      <c r="F4" s="842">
        <v>49</v>
      </c>
      <c r="G4" s="105"/>
      <c r="H4" s="72" t="s">
        <v>2</v>
      </c>
      <c r="I4" s="193">
        <v>962</v>
      </c>
      <c r="K4" s="948" t="s">
        <v>210</v>
      </c>
      <c r="L4" s="948"/>
      <c r="M4" s="948"/>
      <c r="N4" s="948"/>
      <c r="O4" s="948"/>
      <c r="P4" s="948"/>
      <c r="Q4" s="111" t="s">
        <v>122</v>
      </c>
      <c r="Y4" s="182" t="s">
        <v>2</v>
      </c>
      <c r="Z4" s="101">
        <v>231</v>
      </c>
      <c r="AA4" s="76"/>
      <c r="AB4" s="190" t="s">
        <v>99</v>
      </c>
      <c r="AC4" s="203">
        <v>75</v>
      </c>
      <c r="AD4" s="76"/>
      <c r="AE4" s="182" t="s">
        <v>2</v>
      </c>
      <c r="AF4" s="183">
        <v>231</v>
      </c>
      <c r="AG4" s="76"/>
      <c r="AH4" s="190" t="s">
        <v>99</v>
      </c>
      <c r="AI4" s="191">
        <v>75</v>
      </c>
      <c r="AJ4" s="76"/>
      <c r="AK4" s="182" t="s">
        <v>2</v>
      </c>
      <c r="AL4" s="193">
        <v>928</v>
      </c>
      <c r="AY4" s="72" t="s">
        <v>222</v>
      </c>
      <c r="AZ4" s="215">
        <v>227</v>
      </c>
      <c r="BA4" s="76"/>
      <c r="BB4" s="216" t="s">
        <v>217</v>
      </c>
      <c r="BC4" s="215">
        <v>81</v>
      </c>
      <c r="BD4" s="76"/>
      <c r="BE4" s="72" t="s">
        <v>222</v>
      </c>
      <c r="BF4" s="218">
        <v>227</v>
      </c>
      <c r="BG4" s="76"/>
      <c r="BH4" s="129" t="s">
        <v>217</v>
      </c>
      <c r="BI4" s="219">
        <v>81</v>
      </c>
      <c r="BJ4" s="76"/>
      <c r="BK4" s="72" t="s">
        <v>222</v>
      </c>
      <c r="BL4" s="220">
        <v>945</v>
      </c>
      <c r="BY4" s="264" t="s">
        <v>27</v>
      </c>
      <c r="BZ4" s="265">
        <v>232</v>
      </c>
      <c r="CA4" s="76"/>
      <c r="CB4" s="72" t="s">
        <v>69</v>
      </c>
      <c r="CC4" s="90">
        <v>68</v>
      </c>
      <c r="CD4" s="76"/>
      <c r="CE4" s="264" t="s">
        <v>27</v>
      </c>
      <c r="CF4" s="266">
        <v>232</v>
      </c>
      <c r="CG4" s="76"/>
      <c r="CH4" s="72" t="s">
        <v>69</v>
      </c>
      <c r="CI4" s="183">
        <v>68</v>
      </c>
      <c r="CJ4" s="76"/>
      <c r="CK4" s="264" t="s">
        <v>27</v>
      </c>
      <c r="CL4" s="265">
        <v>960</v>
      </c>
      <c r="CY4" s="217" t="s">
        <v>9</v>
      </c>
      <c r="CZ4" s="203">
        <v>243</v>
      </c>
      <c r="DA4" s="76"/>
      <c r="DB4" s="298" t="s">
        <v>69</v>
      </c>
      <c r="DC4" s="118">
        <v>66</v>
      </c>
      <c r="DD4" s="76"/>
      <c r="DE4" s="217" t="s">
        <v>9</v>
      </c>
      <c r="DF4" s="191">
        <v>243</v>
      </c>
      <c r="DG4" s="76"/>
      <c r="DH4" s="298" t="s">
        <v>69</v>
      </c>
      <c r="DI4" s="183">
        <v>66</v>
      </c>
      <c r="DJ4" s="76"/>
      <c r="DK4" s="309" t="s">
        <v>3</v>
      </c>
      <c r="DL4" s="310">
        <v>901</v>
      </c>
      <c r="DY4" s="568" t="s">
        <v>60</v>
      </c>
      <c r="DZ4" s="552">
        <v>235</v>
      </c>
      <c r="EA4" s="76"/>
      <c r="EB4" s="569" t="s">
        <v>15</v>
      </c>
      <c r="EC4" s="118">
        <v>78</v>
      </c>
      <c r="ED4" s="76"/>
      <c r="EE4" s="568" t="s">
        <v>60</v>
      </c>
      <c r="EF4" s="552">
        <v>235</v>
      </c>
      <c r="EG4" s="76"/>
      <c r="EH4" s="569" t="s">
        <v>15</v>
      </c>
      <c r="EI4" s="118">
        <v>78</v>
      </c>
      <c r="EJ4" s="76"/>
      <c r="EK4" s="568" t="s">
        <v>96</v>
      </c>
      <c r="EL4" s="557">
        <v>959</v>
      </c>
      <c r="EY4" s="674" t="s">
        <v>60</v>
      </c>
      <c r="EZ4" s="675">
        <v>228</v>
      </c>
      <c r="FA4" s="76"/>
      <c r="FB4" s="674" t="s">
        <v>292</v>
      </c>
      <c r="FC4" s="675">
        <v>49</v>
      </c>
      <c r="FD4" s="76"/>
      <c r="FE4" s="674" t="s">
        <v>60</v>
      </c>
      <c r="FF4" s="675">
        <v>228</v>
      </c>
      <c r="FG4" s="671"/>
      <c r="FH4" s="674" t="s">
        <v>292</v>
      </c>
      <c r="FI4" s="675">
        <v>49</v>
      </c>
      <c r="FJ4" s="76"/>
      <c r="FK4" s="72" t="s">
        <v>2</v>
      </c>
      <c r="FL4" s="676">
        <v>962</v>
      </c>
      <c r="FY4" s="840" t="s">
        <v>222</v>
      </c>
      <c r="FZ4" s="101">
        <v>223</v>
      </c>
      <c r="GB4" s="841" t="s">
        <v>292</v>
      </c>
      <c r="GC4" s="842">
        <v>60</v>
      </c>
      <c r="GE4" s="840" t="s">
        <v>222</v>
      </c>
      <c r="GF4" s="183">
        <v>223</v>
      </c>
      <c r="GH4" s="841" t="s">
        <v>292</v>
      </c>
      <c r="GI4" s="843">
        <v>60</v>
      </c>
      <c r="GK4" s="844" t="s">
        <v>244</v>
      </c>
      <c r="GL4" s="845">
        <v>893</v>
      </c>
    </row>
    <row r="5" spans="1:209" ht="15.75">
      <c r="B5" s="862" t="s">
        <v>60</v>
      </c>
      <c r="C5" s="308">
        <v>235</v>
      </c>
      <c r="D5" s="105"/>
      <c r="E5" s="841" t="s">
        <v>292</v>
      </c>
      <c r="F5" s="843">
        <v>60</v>
      </c>
      <c r="G5" s="105"/>
      <c r="H5" s="863" t="s">
        <v>27</v>
      </c>
      <c r="I5" s="94">
        <v>960</v>
      </c>
      <c r="K5" s="106" t="s">
        <v>111</v>
      </c>
      <c r="L5" s="200" t="s">
        <v>6</v>
      </c>
      <c r="M5" s="200">
        <v>4005</v>
      </c>
      <c r="N5" s="107"/>
      <c r="O5" s="106" t="s">
        <v>111</v>
      </c>
      <c r="P5" s="182" t="s">
        <v>2</v>
      </c>
      <c r="Q5" s="193">
        <v>928</v>
      </c>
      <c r="S5" s="934"/>
      <c r="Y5" s="184" t="s">
        <v>82</v>
      </c>
      <c r="Z5" s="123">
        <v>217</v>
      </c>
      <c r="AA5" s="76"/>
      <c r="AB5" s="187" t="s">
        <v>101</v>
      </c>
      <c r="AC5" s="92">
        <v>79</v>
      </c>
      <c r="AD5" s="76"/>
      <c r="AE5" s="184" t="s">
        <v>82</v>
      </c>
      <c r="AF5" s="123">
        <v>217</v>
      </c>
      <c r="AG5" s="76"/>
      <c r="AH5" s="187" t="s">
        <v>101</v>
      </c>
      <c r="AI5" s="126">
        <v>79</v>
      </c>
      <c r="AJ5" s="76"/>
      <c r="AK5" s="184" t="s">
        <v>9</v>
      </c>
      <c r="AL5" s="194">
        <v>895</v>
      </c>
      <c r="AY5" s="72" t="s">
        <v>2</v>
      </c>
      <c r="AZ5" s="196">
        <v>223</v>
      </c>
      <c r="BA5" s="76"/>
      <c r="BB5" s="136" t="s">
        <v>19</v>
      </c>
      <c r="BC5" s="196">
        <v>84</v>
      </c>
      <c r="BD5" s="76"/>
      <c r="BE5" s="70" t="s">
        <v>222</v>
      </c>
      <c r="BF5" s="221">
        <v>223</v>
      </c>
      <c r="BG5" s="76"/>
      <c r="BH5" s="222" t="s">
        <v>19</v>
      </c>
      <c r="BI5" s="223">
        <v>84</v>
      </c>
      <c r="BJ5" s="76"/>
      <c r="BK5" s="135" t="s">
        <v>223</v>
      </c>
      <c r="BL5" s="224">
        <v>915</v>
      </c>
      <c r="BY5" s="133" t="s">
        <v>242</v>
      </c>
      <c r="BZ5" s="194">
        <v>228</v>
      </c>
      <c r="CA5" s="76"/>
      <c r="CB5" s="132" t="s">
        <v>243</v>
      </c>
      <c r="CC5" s="196">
        <v>84</v>
      </c>
      <c r="CD5" s="76"/>
      <c r="CE5" s="133" t="s">
        <v>242</v>
      </c>
      <c r="CF5" s="123">
        <v>228</v>
      </c>
      <c r="CG5" s="76"/>
      <c r="CH5" s="132" t="s">
        <v>243</v>
      </c>
      <c r="CI5" s="125">
        <v>84</v>
      </c>
      <c r="CJ5" s="76"/>
      <c r="CK5" s="70" t="s">
        <v>2</v>
      </c>
      <c r="CL5" s="92">
        <v>897</v>
      </c>
      <c r="CY5" s="293" t="s">
        <v>262</v>
      </c>
      <c r="CZ5" s="303">
        <v>221</v>
      </c>
      <c r="DA5" s="76"/>
      <c r="DB5" s="297" t="s">
        <v>101</v>
      </c>
      <c r="DC5" s="71">
        <v>69</v>
      </c>
      <c r="DD5" s="76"/>
      <c r="DE5" s="293" t="s">
        <v>262</v>
      </c>
      <c r="DF5" s="294">
        <v>221</v>
      </c>
      <c r="DG5" s="76"/>
      <c r="DH5" s="297" t="s">
        <v>101</v>
      </c>
      <c r="DI5" s="126">
        <v>69</v>
      </c>
      <c r="DJ5" s="76"/>
      <c r="DK5" s="297" t="s">
        <v>2</v>
      </c>
      <c r="DL5" s="126">
        <v>883</v>
      </c>
      <c r="DY5" s="569" t="s">
        <v>32</v>
      </c>
      <c r="DZ5" s="71">
        <v>223</v>
      </c>
      <c r="EA5" s="76"/>
      <c r="EB5" s="565" t="s">
        <v>283</v>
      </c>
      <c r="EC5" s="547">
        <v>79</v>
      </c>
      <c r="ED5" s="76"/>
      <c r="EE5" s="569" t="s">
        <v>32</v>
      </c>
      <c r="EF5" s="71">
        <v>223</v>
      </c>
      <c r="EG5" s="76"/>
      <c r="EH5" s="565" t="s">
        <v>283</v>
      </c>
      <c r="EI5" s="547">
        <v>79</v>
      </c>
      <c r="EJ5" s="76"/>
      <c r="EK5" s="568" t="s">
        <v>60</v>
      </c>
      <c r="EL5" s="549">
        <v>912</v>
      </c>
      <c r="EY5" s="70" t="s">
        <v>2</v>
      </c>
      <c r="EZ5" s="663">
        <v>213</v>
      </c>
      <c r="FA5" s="76"/>
      <c r="FB5" s="659" t="s">
        <v>14</v>
      </c>
      <c r="FC5" s="664">
        <v>76</v>
      </c>
      <c r="FD5" s="76"/>
      <c r="FE5" s="70" t="s">
        <v>2</v>
      </c>
      <c r="FF5" s="663">
        <v>213</v>
      </c>
      <c r="FG5" s="671"/>
      <c r="FH5" s="659" t="s">
        <v>292</v>
      </c>
      <c r="FI5" s="664">
        <v>56</v>
      </c>
      <c r="FJ5" s="76"/>
      <c r="FK5" s="70" t="s">
        <v>222</v>
      </c>
      <c r="FL5" s="668">
        <v>901</v>
      </c>
      <c r="FY5" s="844" t="s">
        <v>223</v>
      </c>
      <c r="FZ5" s="846">
        <v>210</v>
      </c>
      <c r="GB5" s="847" t="s">
        <v>254</v>
      </c>
      <c r="GC5" s="846">
        <v>78</v>
      </c>
      <c r="GE5" s="844" t="s">
        <v>223</v>
      </c>
      <c r="GF5" s="846">
        <v>210</v>
      </c>
      <c r="GH5" s="841" t="s">
        <v>292</v>
      </c>
      <c r="GI5" s="294">
        <v>74</v>
      </c>
      <c r="GK5" s="847" t="s">
        <v>66</v>
      </c>
      <c r="GL5" s="91">
        <v>888</v>
      </c>
    </row>
    <row r="6" spans="1:209" ht="15.75">
      <c r="B6" s="863" t="s">
        <v>27</v>
      </c>
      <c r="C6" s="846">
        <v>232</v>
      </c>
      <c r="D6" s="105"/>
      <c r="E6" s="297" t="s">
        <v>69</v>
      </c>
      <c r="F6" s="126">
        <v>66</v>
      </c>
      <c r="G6" s="105"/>
      <c r="H6" s="862" t="s">
        <v>96</v>
      </c>
      <c r="I6" s="303">
        <v>959</v>
      </c>
      <c r="K6" s="106" t="s">
        <v>112</v>
      </c>
      <c r="L6" s="201" t="s">
        <v>17</v>
      </c>
      <c r="M6" s="201">
        <v>3883</v>
      </c>
      <c r="N6" s="107"/>
      <c r="O6" s="106" t="s">
        <v>112</v>
      </c>
      <c r="P6" s="184" t="s">
        <v>9</v>
      </c>
      <c r="Q6" s="194">
        <v>895</v>
      </c>
      <c r="S6" s="934"/>
      <c r="Y6" s="184" t="s">
        <v>10</v>
      </c>
      <c r="Z6" s="123">
        <v>208</v>
      </c>
      <c r="AA6" s="76"/>
      <c r="AB6" s="185" t="s">
        <v>104</v>
      </c>
      <c r="AC6" s="198">
        <v>83</v>
      </c>
      <c r="AD6" s="76"/>
      <c r="AE6" s="184" t="s">
        <v>10</v>
      </c>
      <c r="AF6" s="123">
        <v>208</v>
      </c>
      <c r="AG6" s="76"/>
      <c r="AH6" s="185" t="s">
        <v>104</v>
      </c>
      <c r="AI6" s="124">
        <v>83</v>
      </c>
      <c r="AJ6" s="76"/>
      <c r="AK6" s="186" t="s">
        <v>3</v>
      </c>
      <c r="AL6" s="195">
        <v>881</v>
      </c>
      <c r="AY6" s="136" t="s">
        <v>3</v>
      </c>
      <c r="AZ6" s="196">
        <v>218</v>
      </c>
      <c r="BA6" s="76"/>
      <c r="BB6" s="72" t="s">
        <v>91</v>
      </c>
      <c r="BC6" s="196">
        <v>85</v>
      </c>
      <c r="BD6" s="76"/>
      <c r="BE6" s="70" t="s">
        <v>2</v>
      </c>
      <c r="BF6" s="221">
        <v>223</v>
      </c>
      <c r="BG6" s="76"/>
      <c r="BH6" s="225" t="s">
        <v>91</v>
      </c>
      <c r="BI6" s="221">
        <v>85</v>
      </c>
      <c r="BJ6" s="76"/>
      <c r="BK6" s="70" t="s">
        <v>2</v>
      </c>
      <c r="BL6" s="226">
        <v>905</v>
      </c>
      <c r="BY6" s="133" t="s">
        <v>9</v>
      </c>
      <c r="BZ6" s="194">
        <v>205</v>
      </c>
      <c r="CA6" s="76"/>
      <c r="CB6" s="70" t="s">
        <v>224</v>
      </c>
      <c r="CC6" s="92">
        <v>92</v>
      </c>
      <c r="CD6" s="76"/>
      <c r="CE6" s="186" t="s">
        <v>27</v>
      </c>
      <c r="CF6" s="122">
        <v>211</v>
      </c>
      <c r="CG6" s="76"/>
      <c r="CH6" s="70" t="s">
        <v>69</v>
      </c>
      <c r="CI6" s="126">
        <v>85</v>
      </c>
      <c r="CJ6" s="76"/>
      <c r="CK6" s="133" t="s">
        <v>82</v>
      </c>
      <c r="CL6" s="194">
        <v>895</v>
      </c>
      <c r="CY6" s="295" t="s">
        <v>34</v>
      </c>
      <c r="CZ6" s="304">
        <v>218</v>
      </c>
      <c r="DA6" s="76"/>
      <c r="DB6" s="299" t="s">
        <v>94</v>
      </c>
      <c r="DC6" s="306">
        <v>75</v>
      </c>
      <c r="DD6" s="76"/>
      <c r="DE6" s="295" t="s">
        <v>34</v>
      </c>
      <c r="DF6" s="296">
        <v>218</v>
      </c>
      <c r="DG6" s="76"/>
      <c r="DH6" s="299" t="s">
        <v>94</v>
      </c>
      <c r="DI6" s="300">
        <v>75</v>
      </c>
      <c r="DJ6" s="76"/>
      <c r="DK6" s="293" t="s">
        <v>96</v>
      </c>
      <c r="DL6" s="294">
        <v>883</v>
      </c>
      <c r="DY6" s="568" t="s">
        <v>96</v>
      </c>
      <c r="DZ6" s="545">
        <v>205</v>
      </c>
      <c r="EA6" s="76"/>
      <c r="EB6" s="567" t="s">
        <v>286</v>
      </c>
      <c r="EC6" s="546">
        <v>81</v>
      </c>
      <c r="ED6" s="76"/>
      <c r="EE6" s="568" t="s">
        <v>96</v>
      </c>
      <c r="EF6" s="545">
        <v>205</v>
      </c>
      <c r="EG6" s="76"/>
      <c r="EH6" s="567" t="s">
        <v>286</v>
      </c>
      <c r="EI6" s="546">
        <v>81</v>
      </c>
      <c r="EJ6" s="76"/>
      <c r="EK6" s="563" t="s">
        <v>82</v>
      </c>
      <c r="EL6" s="548">
        <v>858</v>
      </c>
      <c r="EY6" s="70" t="s">
        <v>222</v>
      </c>
      <c r="EZ6" s="663">
        <v>212</v>
      </c>
      <c r="FA6" s="76"/>
      <c r="FB6" s="658" t="s">
        <v>291</v>
      </c>
      <c r="FC6" s="662">
        <v>80</v>
      </c>
      <c r="FD6" s="76"/>
      <c r="FE6" s="660" t="s">
        <v>68</v>
      </c>
      <c r="FF6" s="665">
        <v>212</v>
      </c>
      <c r="FG6" s="671"/>
      <c r="FH6" s="659" t="s">
        <v>292</v>
      </c>
      <c r="FI6" s="664">
        <v>65</v>
      </c>
      <c r="FJ6" s="76"/>
      <c r="FK6" s="660" t="s">
        <v>67</v>
      </c>
      <c r="FL6" s="670">
        <v>894</v>
      </c>
      <c r="FY6" s="848" t="s">
        <v>36</v>
      </c>
      <c r="FZ6" s="849">
        <v>208</v>
      </c>
      <c r="GB6" s="841" t="s">
        <v>14</v>
      </c>
      <c r="GC6" s="850">
        <v>83</v>
      </c>
      <c r="GE6" s="848" t="s">
        <v>36</v>
      </c>
      <c r="GF6" s="851">
        <v>208</v>
      </c>
      <c r="GH6" s="847" t="s">
        <v>254</v>
      </c>
      <c r="GI6" s="852">
        <v>78</v>
      </c>
      <c r="GK6" s="840" t="s">
        <v>222</v>
      </c>
      <c r="GL6" s="92">
        <v>863</v>
      </c>
    </row>
    <row r="7" spans="1:209" ht="15.75">
      <c r="B7" s="187" t="s">
        <v>2</v>
      </c>
      <c r="C7" s="126">
        <v>231</v>
      </c>
      <c r="D7" s="105"/>
      <c r="E7" s="70" t="s">
        <v>69</v>
      </c>
      <c r="F7" s="126">
        <v>68</v>
      </c>
      <c r="G7" s="105"/>
      <c r="H7" s="70" t="s">
        <v>222</v>
      </c>
      <c r="I7" s="226">
        <v>945</v>
      </c>
      <c r="K7" s="106" t="s">
        <v>113</v>
      </c>
      <c r="L7" s="202" t="s">
        <v>0</v>
      </c>
      <c r="M7" s="202">
        <v>3852</v>
      </c>
      <c r="N7" s="107"/>
      <c r="O7" s="106" t="s">
        <v>113</v>
      </c>
      <c r="P7" s="186" t="s">
        <v>3</v>
      </c>
      <c r="Q7" s="195">
        <v>881</v>
      </c>
      <c r="S7" s="934"/>
      <c r="Y7" s="186" t="s">
        <v>3</v>
      </c>
      <c r="Z7" s="122">
        <v>205</v>
      </c>
      <c r="AA7" s="76"/>
      <c r="AB7" s="188" t="s">
        <v>29</v>
      </c>
      <c r="AC7" s="196">
        <v>86</v>
      </c>
      <c r="AD7" s="76"/>
      <c r="AE7" s="185" t="s">
        <v>72</v>
      </c>
      <c r="AF7" s="124">
        <v>205</v>
      </c>
      <c r="AG7" s="76"/>
      <c r="AH7" s="187" t="s">
        <v>101</v>
      </c>
      <c r="AI7" s="126">
        <v>85</v>
      </c>
      <c r="AJ7" s="76"/>
      <c r="AK7" s="188" t="s">
        <v>66</v>
      </c>
      <c r="AL7" s="196">
        <v>860</v>
      </c>
      <c r="AY7" s="136" t="s">
        <v>34</v>
      </c>
      <c r="AZ7" s="196">
        <v>207</v>
      </c>
      <c r="BA7" s="76"/>
      <c r="BB7" s="136" t="s">
        <v>46</v>
      </c>
      <c r="BC7" s="196">
        <v>86</v>
      </c>
      <c r="BD7" s="76"/>
      <c r="BE7" s="135" t="s">
        <v>3</v>
      </c>
      <c r="BF7" s="223">
        <v>218</v>
      </c>
      <c r="BG7" s="76"/>
      <c r="BH7" s="225" t="s">
        <v>91</v>
      </c>
      <c r="BI7" s="221">
        <v>85</v>
      </c>
      <c r="BJ7" s="76"/>
      <c r="BK7" s="134" t="s">
        <v>100</v>
      </c>
      <c r="BL7" s="227">
        <v>896</v>
      </c>
      <c r="BY7" s="133" t="s">
        <v>82</v>
      </c>
      <c r="BZ7" s="194">
        <v>205</v>
      </c>
      <c r="CA7" s="76"/>
      <c r="CB7" s="188" t="s">
        <v>217</v>
      </c>
      <c r="CC7" s="196">
        <v>93</v>
      </c>
      <c r="CD7" s="76"/>
      <c r="CE7" s="133" t="s">
        <v>9</v>
      </c>
      <c r="CF7" s="123">
        <v>205</v>
      </c>
      <c r="CG7" s="76"/>
      <c r="CH7" s="70" t="s">
        <v>224</v>
      </c>
      <c r="CI7" s="126">
        <v>92</v>
      </c>
      <c r="CJ7" s="76"/>
      <c r="CK7" s="133" t="s">
        <v>9</v>
      </c>
      <c r="CL7" s="194">
        <v>859</v>
      </c>
      <c r="CY7" s="297" t="s">
        <v>220</v>
      </c>
      <c r="CZ7" s="197">
        <v>212</v>
      </c>
      <c r="DA7" s="76"/>
      <c r="DB7" s="295" t="s">
        <v>77</v>
      </c>
      <c r="DC7" s="307">
        <v>75</v>
      </c>
      <c r="DD7" s="76"/>
      <c r="DE7" s="297" t="s">
        <v>220</v>
      </c>
      <c r="DF7" s="126">
        <v>212</v>
      </c>
      <c r="DG7" s="76"/>
      <c r="DH7" s="295" t="s">
        <v>77</v>
      </c>
      <c r="DI7" s="296">
        <v>75</v>
      </c>
      <c r="DJ7" s="76"/>
      <c r="DK7" s="133" t="s">
        <v>9</v>
      </c>
      <c r="DL7" s="123">
        <v>854</v>
      </c>
      <c r="DY7" s="566" t="s">
        <v>27</v>
      </c>
      <c r="DZ7" s="547">
        <v>204</v>
      </c>
      <c r="EA7" s="76"/>
      <c r="EB7" s="569" t="s">
        <v>284</v>
      </c>
      <c r="EC7" s="71">
        <v>90</v>
      </c>
      <c r="ED7" s="76"/>
      <c r="EE7" s="566" t="s">
        <v>27</v>
      </c>
      <c r="EF7" s="547">
        <v>204</v>
      </c>
      <c r="EG7" s="76"/>
      <c r="EH7" s="569" t="s">
        <v>284</v>
      </c>
      <c r="EI7" s="71">
        <v>90</v>
      </c>
      <c r="EJ7" s="76"/>
      <c r="EK7" s="566" t="s">
        <v>27</v>
      </c>
      <c r="EL7" s="551">
        <v>854</v>
      </c>
      <c r="EY7" s="660" t="s">
        <v>68</v>
      </c>
      <c r="EZ7" s="665">
        <v>212</v>
      </c>
      <c r="FA7" s="76"/>
      <c r="FB7" s="660" t="s">
        <v>254</v>
      </c>
      <c r="FC7" s="665">
        <v>88</v>
      </c>
      <c r="FD7" s="76"/>
      <c r="FE7" s="70" t="s">
        <v>222</v>
      </c>
      <c r="FF7" s="663">
        <v>212</v>
      </c>
      <c r="FG7" s="671"/>
      <c r="FH7" s="659" t="s">
        <v>14</v>
      </c>
      <c r="FI7" s="664">
        <v>76</v>
      </c>
      <c r="FJ7" s="76"/>
      <c r="FK7" s="657" t="s">
        <v>27</v>
      </c>
      <c r="FL7" s="666">
        <v>889</v>
      </c>
      <c r="FY7" s="847" t="s">
        <v>66</v>
      </c>
      <c r="FZ7" s="846">
        <v>203</v>
      </c>
      <c r="GB7" s="840" t="s">
        <v>73</v>
      </c>
      <c r="GC7" s="48">
        <v>86</v>
      </c>
      <c r="GE7" s="847" t="s">
        <v>66</v>
      </c>
      <c r="GF7" s="852">
        <v>203</v>
      </c>
      <c r="GH7" s="841" t="s">
        <v>292</v>
      </c>
      <c r="GI7" s="294">
        <v>82</v>
      </c>
      <c r="GK7" s="841" t="s">
        <v>96</v>
      </c>
      <c r="GL7" s="93">
        <v>860</v>
      </c>
    </row>
    <row r="8" spans="1:209" ht="15.75">
      <c r="B8" s="864" t="s">
        <v>242</v>
      </c>
      <c r="C8" s="849">
        <v>228</v>
      </c>
      <c r="D8" s="105"/>
      <c r="E8" s="70" t="s">
        <v>69</v>
      </c>
      <c r="F8" s="126">
        <v>68</v>
      </c>
      <c r="G8" s="105"/>
      <c r="H8" s="187" t="s">
        <v>2</v>
      </c>
      <c r="I8" s="197">
        <v>928</v>
      </c>
      <c r="K8" s="947" t="s">
        <v>211</v>
      </c>
      <c r="L8" s="947"/>
      <c r="M8" s="947"/>
      <c r="N8" s="947"/>
      <c r="O8" s="947"/>
      <c r="P8" s="947"/>
      <c r="Q8" s="111" t="s">
        <v>122</v>
      </c>
      <c r="Y8" s="185" t="s">
        <v>72</v>
      </c>
      <c r="Z8" s="124">
        <v>205</v>
      </c>
      <c r="AA8" s="76"/>
      <c r="AB8" s="186" t="s">
        <v>19</v>
      </c>
      <c r="AC8" s="195">
        <v>88</v>
      </c>
      <c r="AD8" s="76"/>
      <c r="AE8" s="186" t="s">
        <v>3</v>
      </c>
      <c r="AF8" s="122">
        <v>205</v>
      </c>
      <c r="AG8" s="76"/>
      <c r="AH8" s="188" t="s">
        <v>29</v>
      </c>
      <c r="AI8" s="125">
        <v>86</v>
      </c>
      <c r="AJ8" s="76"/>
      <c r="AK8" s="189" t="s">
        <v>59</v>
      </c>
      <c r="AL8" s="197">
        <v>847</v>
      </c>
      <c r="AY8" s="216" t="s">
        <v>68</v>
      </c>
      <c r="AZ8" s="196">
        <v>205</v>
      </c>
      <c r="BA8" s="76"/>
      <c r="BB8" s="72" t="s">
        <v>101</v>
      </c>
      <c r="BC8" s="196">
        <v>89</v>
      </c>
      <c r="BD8" s="76"/>
      <c r="BE8" s="135" t="s">
        <v>34</v>
      </c>
      <c r="BF8" s="223">
        <v>207</v>
      </c>
      <c r="BG8" s="76"/>
      <c r="BH8" s="222" t="s">
        <v>46</v>
      </c>
      <c r="BI8" s="223">
        <v>86</v>
      </c>
      <c r="BJ8" s="76"/>
      <c r="BK8" s="134" t="s">
        <v>1</v>
      </c>
      <c r="BL8" s="227">
        <v>891</v>
      </c>
      <c r="BY8" s="70" t="s">
        <v>2</v>
      </c>
      <c r="BZ8" s="92">
        <v>205</v>
      </c>
      <c r="CA8" s="76"/>
      <c r="CB8" s="133" t="s">
        <v>99</v>
      </c>
      <c r="CC8" s="194">
        <v>97</v>
      </c>
      <c r="CD8" s="76"/>
      <c r="CE8" s="70" t="s">
        <v>2</v>
      </c>
      <c r="CF8" s="126">
        <v>205</v>
      </c>
      <c r="CG8" s="76"/>
      <c r="CH8" s="188" t="s">
        <v>217</v>
      </c>
      <c r="CI8" s="125">
        <v>93</v>
      </c>
      <c r="CJ8" s="76"/>
      <c r="CK8" s="133" t="s">
        <v>242</v>
      </c>
      <c r="CL8" s="194">
        <v>846</v>
      </c>
      <c r="CY8" s="297" t="s">
        <v>2</v>
      </c>
      <c r="CZ8" s="197">
        <v>212</v>
      </c>
      <c r="DA8" s="76"/>
      <c r="DB8" s="299" t="s">
        <v>263</v>
      </c>
      <c r="DC8" s="306">
        <v>79</v>
      </c>
      <c r="DD8" s="76"/>
      <c r="DE8" s="297" t="s">
        <v>2</v>
      </c>
      <c r="DF8" s="126">
        <v>212</v>
      </c>
      <c r="DG8" s="76"/>
      <c r="DH8" s="299" t="s">
        <v>263</v>
      </c>
      <c r="DI8" s="300">
        <v>79</v>
      </c>
      <c r="DJ8" s="76"/>
      <c r="DK8" s="133" t="s">
        <v>5</v>
      </c>
      <c r="DL8" s="123">
        <v>842</v>
      </c>
      <c r="DY8" s="563" t="s">
        <v>82</v>
      </c>
      <c r="DZ8" s="544">
        <v>194</v>
      </c>
      <c r="EA8" s="76"/>
      <c r="EB8" s="567" t="s">
        <v>30</v>
      </c>
      <c r="EC8" s="546">
        <v>91</v>
      </c>
      <c r="ED8" s="76"/>
      <c r="EE8" s="568" t="s">
        <v>96</v>
      </c>
      <c r="EF8" s="545">
        <v>201</v>
      </c>
      <c r="EG8" s="76"/>
      <c r="EH8" s="567" t="s">
        <v>30</v>
      </c>
      <c r="EI8" s="546">
        <v>91</v>
      </c>
      <c r="EJ8" s="76"/>
      <c r="EK8" s="569" t="s">
        <v>32</v>
      </c>
      <c r="EL8" s="92">
        <v>834</v>
      </c>
      <c r="EY8" s="660" t="s">
        <v>67</v>
      </c>
      <c r="EZ8" s="665">
        <v>211</v>
      </c>
      <c r="FA8" s="76"/>
      <c r="FB8" s="70" t="s">
        <v>15</v>
      </c>
      <c r="FC8" s="663">
        <v>89</v>
      </c>
      <c r="FD8" s="76"/>
      <c r="FE8" s="660" t="s">
        <v>67</v>
      </c>
      <c r="FF8" s="665">
        <v>211</v>
      </c>
      <c r="FG8" s="671"/>
      <c r="FH8" s="658" t="s">
        <v>291</v>
      </c>
      <c r="FI8" s="662">
        <v>80</v>
      </c>
      <c r="FJ8" s="76"/>
      <c r="FK8" s="658" t="s">
        <v>82</v>
      </c>
      <c r="FL8" s="667">
        <v>863</v>
      </c>
      <c r="FY8" s="848" t="s">
        <v>82</v>
      </c>
      <c r="FZ8" s="849">
        <v>200</v>
      </c>
      <c r="GB8" s="841" t="s">
        <v>26</v>
      </c>
      <c r="GC8" s="850">
        <v>86</v>
      </c>
      <c r="GE8" s="848" t="s">
        <v>82</v>
      </c>
      <c r="GF8" s="851">
        <v>200</v>
      </c>
      <c r="GH8" s="841" t="s">
        <v>14</v>
      </c>
      <c r="GI8" s="294">
        <v>83</v>
      </c>
      <c r="GK8" s="844" t="s">
        <v>223</v>
      </c>
      <c r="GL8" s="94">
        <v>850</v>
      </c>
    </row>
    <row r="9" spans="1:209" ht="15.75">
      <c r="B9" s="865" t="s">
        <v>60</v>
      </c>
      <c r="C9" s="850">
        <v>228</v>
      </c>
      <c r="D9" s="105"/>
      <c r="E9" s="297" t="s">
        <v>101</v>
      </c>
      <c r="F9" s="126">
        <v>69</v>
      </c>
      <c r="G9" s="105"/>
      <c r="H9" s="866" t="s">
        <v>223</v>
      </c>
      <c r="I9" s="867">
        <v>915</v>
      </c>
      <c r="K9" s="106" t="s">
        <v>111</v>
      </c>
      <c r="L9" s="210" t="s">
        <v>7</v>
      </c>
      <c r="M9" s="210">
        <v>3998</v>
      </c>
      <c r="N9" s="107"/>
      <c r="O9" s="106" t="s">
        <v>111</v>
      </c>
      <c r="P9" s="211" t="s">
        <v>222</v>
      </c>
      <c r="Q9" s="212">
        <v>945</v>
      </c>
      <c r="Y9" s="185" t="s">
        <v>96</v>
      </c>
      <c r="Z9" s="124">
        <v>201</v>
      </c>
      <c r="AA9" s="76"/>
      <c r="AB9" s="187" t="s">
        <v>15</v>
      </c>
      <c r="AC9" s="92">
        <v>89</v>
      </c>
      <c r="AD9" s="76"/>
      <c r="AE9" s="185" t="s">
        <v>96</v>
      </c>
      <c r="AF9" s="124">
        <v>201</v>
      </c>
      <c r="AG9" s="76"/>
      <c r="AH9" s="184" t="s">
        <v>99</v>
      </c>
      <c r="AI9" s="123">
        <v>86</v>
      </c>
      <c r="AJ9" s="76"/>
      <c r="AK9" s="185" t="s">
        <v>72</v>
      </c>
      <c r="AL9" s="198">
        <v>830</v>
      </c>
      <c r="AY9" s="217" t="s">
        <v>37</v>
      </c>
      <c r="AZ9" s="196">
        <v>197</v>
      </c>
      <c r="BA9" s="76"/>
      <c r="BB9" s="136" t="s">
        <v>8</v>
      </c>
      <c r="BC9" s="196">
        <v>96</v>
      </c>
      <c r="BD9" s="76"/>
      <c r="BE9" s="132" t="s">
        <v>68</v>
      </c>
      <c r="BF9" s="228">
        <v>205</v>
      </c>
      <c r="BG9" s="76"/>
      <c r="BH9" s="222" t="s">
        <v>19</v>
      </c>
      <c r="BI9" s="223">
        <v>88</v>
      </c>
      <c r="BJ9" s="76"/>
      <c r="BK9" s="135" t="s">
        <v>3</v>
      </c>
      <c r="BL9" s="224">
        <v>876</v>
      </c>
      <c r="BY9" s="135" t="s">
        <v>35</v>
      </c>
      <c r="BZ9" s="195">
        <v>202</v>
      </c>
      <c r="CA9" s="76"/>
      <c r="CB9" s="70" t="s">
        <v>118</v>
      </c>
      <c r="CC9" s="92">
        <v>97</v>
      </c>
      <c r="CD9" s="76"/>
      <c r="CE9" s="133" t="s">
        <v>82</v>
      </c>
      <c r="CF9" s="123">
        <v>205</v>
      </c>
      <c r="CG9" s="76"/>
      <c r="CH9" s="133" t="s">
        <v>99</v>
      </c>
      <c r="CI9" s="123">
        <v>97</v>
      </c>
      <c r="CJ9" s="76"/>
      <c r="CK9" s="186" t="s">
        <v>8</v>
      </c>
      <c r="CL9" s="195">
        <v>838</v>
      </c>
      <c r="CY9" s="133" t="s">
        <v>5</v>
      </c>
      <c r="CZ9" s="194">
        <v>200</v>
      </c>
      <c r="DA9" s="76"/>
      <c r="DB9" s="297" t="s">
        <v>91</v>
      </c>
      <c r="DC9" s="71">
        <v>82</v>
      </c>
      <c r="DD9" s="76"/>
      <c r="DE9" s="133" t="s">
        <v>5</v>
      </c>
      <c r="DF9" s="123">
        <v>200</v>
      </c>
      <c r="DG9" s="76"/>
      <c r="DH9" s="297" t="s">
        <v>69</v>
      </c>
      <c r="DI9" s="126">
        <v>82</v>
      </c>
      <c r="DJ9" s="76"/>
      <c r="DK9" s="295" t="s">
        <v>225</v>
      </c>
      <c r="DL9" s="296">
        <v>842</v>
      </c>
      <c r="DY9" s="567" t="s">
        <v>28</v>
      </c>
      <c r="DZ9" s="546">
        <v>192</v>
      </c>
      <c r="EA9" s="76"/>
      <c r="EB9" s="567" t="s">
        <v>287</v>
      </c>
      <c r="EC9" s="546">
        <v>92</v>
      </c>
      <c r="ED9" s="76"/>
      <c r="EE9" s="568" t="s">
        <v>96</v>
      </c>
      <c r="EF9" s="545">
        <v>199</v>
      </c>
      <c r="EG9" s="76"/>
      <c r="EH9" s="554" t="s">
        <v>287</v>
      </c>
      <c r="EI9" s="546">
        <v>92</v>
      </c>
      <c r="EJ9" s="76"/>
      <c r="EK9" s="568" t="s">
        <v>100</v>
      </c>
      <c r="EL9" s="549">
        <v>826</v>
      </c>
      <c r="EY9" s="660" t="s">
        <v>31</v>
      </c>
      <c r="EZ9" s="665">
        <v>210</v>
      </c>
      <c r="FA9" s="76"/>
      <c r="FB9" s="659" t="s">
        <v>93</v>
      </c>
      <c r="FC9" s="664">
        <v>90</v>
      </c>
      <c r="FD9" s="76"/>
      <c r="FE9" s="660" t="s">
        <v>31</v>
      </c>
      <c r="FF9" s="665">
        <v>210</v>
      </c>
      <c r="FG9" s="671"/>
      <c r="FH9" s="659" t="s">
        <v>292</v>
      </c>
      <c r="FI9" s="664">
        <v>81</v>
      </c>
      <c r="FJ9" s="76"/>
      <c r="FK9" s="660" t="s">
        <v>68</v>
      </c>
      <c r="FL9" s="670">
        <v>854</v>
      </c>
      <c r="FY9" s="844" t="s">
        <v>244</v>
      </c>
      <c r="FZ9" s="846">
        <v>199</v>
      </c>
      <c r="GB9" s="844" t="s">
        <v>77</v>
      </c>
      <c r="GC9" s="846">
        <v>87</v>
      </c>
      <c r="GE9" s="844" t="s">
        <v>244</v>
      </c>
      <c r="GF9" s="846">
        <v>199</v>
      </c>
      <c r="GH9" s="840" t="s">
        <v>73</v>
      </c>
      <c r="GI9" s="126">
        <v>86</v>
      </c>
      <c r="GK9" s="844" t="s">
        <v>3</v>
      </c>
      <c r="GL9" s="94">
        <v>844</v>
      </c>
    </row>
    <row r="10" spans="1:209" ht="15.75">
      <c r="B10" s="70" t="s">
        <v>222</v>
      </c>
      <c r="C10" s="221">
        <v>227</v>
      </c>
      <c r="D10" s="105"/>
      <c r="E10" s="868" t="s">
        <v>292</v>
      </c>
      <c r="F10" s="294">
        <v>74</v>
      </c>
      <c r="G10" s="105"/>
      <c r="H10" s="862" t="s">
        <v>60</v>
      </c>
      <c r="I10" s="303">
        <v>912</v>
      </c>
      <c r="K10" s="106" t="s">
        <v>112</v>
      </c>
      <c r="L10" s="202" t="s">
        <v>0</v>
      </c>
      <c r="M10" s="202">
        <v>3991</v>
      </c>
      <c r="N10" s="107"/>
      <c r="O10" s="106" t="s">
        <v>112</v>
      </c>
      <c r="P10" s="213" t="s">
        <v>27</v>
      </c>
      <c r="Q10" s="214">
        <v>915</v>
      </c>
      <c r="Y10" s="184" t="s">
        <v>9</v>
      </c>
      <c r="Z10" s="123">
        <v>192</v>
      </c>
      <c r="AA10" s="76"/>
      <c r="AB10" s="70" t="s">
        <v>118</v>
      </c>
      <c r="AC10" s="92">
        <v>89</v>
      </c>
      <c r="AD10" s="76"/>
      <c r="AE10" s="187" t="s">
        <v>2</v>
      </c>
      <c r="AF10" s="126">
        <v>200</v>
      </c>
      <c r="AG10" s="76"/>
      <c r="AH10" s="186" t="s">
        <v>19</v>
      </c>
      <c r="AI10" s="122">
        <v>88</v>
      </c>
      <c r="AJ10" s="76"/>
      <c r="AK10" s="184" t="s">
        <v>10</v>
      </c>
      <c r="AL10" s="194">
        <v>825</v>
      </c>
      <c r="AY10" s="136" t="s">
        <v>223</v>
      </c>
      <c r="AZ10" s="196">
        <v>196</v>
      </c>
      <c r="BA10" s="76"/>
      <c r="BB10" s="72" t="s">
        <v>73</v>
      </c>
      <c r="BC10" s="196">
        <v>96</v>
      </c>
      <c r="BD10" s="76"/>
      <c r="BE10" s="70" t="s">
        <v>222</v>
      </c>
      <c r="BF10" s="221">
        <v>197</v>
      </c>
      <c r="BG10" s="76"/>
      <c r="BH10" s="225" t="s">
        <v>101</v>
      </c>
      <c r="BI10" s="221">
        <v>89</v>
      </c>
      <c r="BJ10" s="76"/>
      <c r="BK10" s="133" t="s">
        <v>5</v>
      </c>
      <c r="BL10" s="229">
        <v>860</v>
      </c>
      <c r="BY10" s="186" t="s">
        <v>8</v>
      </c>
      <c r="BZ10" s="195">
        <v>201</v>
      </c>
      <c r="CA10" s="76"/>
      <c r="CB10" s="135" t="s">
        <v>19</v>
      </c>
      <c r="CC10" s="195">
        <v>98</v>
      </c>
      <c r="CD10" s="76"/>
      <c r="CE10" s="135" t="s">
        <v>35</v>
      </c>
      <c r="CF10" s="122">
        <v>202</v>
      </c>
      <c r="CG10" s="76"/>
      <c r="CH10" s="70" t="s">
        <v>118</v>
      </c>
      <c r="CI10" s="126">
        <v>97</v>
      </c>
      <c r="CJ10" s="76"/>
      <c r="CK10" s="132" t="s">
        <v>68</v>
      </c>
      <c r="CL10" s="196">
        <v>831</v>
      </c>
      <c r="CY10" s="299" t="s">
        <v>67</v>
      </c>
      <c r="CZ10" s="305">
        <v>194</v>
      </c>
      <c r="DA10" s="76"/>
      <c r="DB10" s="293" t="s">
        <v>127</v>
      </c>
      <c r="DC10" s="308">
        <v>87</v>
      </c>
      <c r="DD10" s="76"/>
      <c r="DE10" s="299" t="s">
        <v>67</v>
      </c>
      <c r="DF10" s="300">
        <v>194</v>
      </c>
      <c r="DG10" s="76"/>
      <c r="DH10" s="297" t="s">
        <v>91</v>
      </c>
      <c r="DI10" s="126">
        <v>82</v>
      </c>
      <c r="DJ10" s="76"/>
      <c r="DK10" s="293" t="s">
        <v>262</v>
      </c>
      <c r="DL10" s="294">
        <v>840</v>
      </c>
      <c r="DY10" s="567" t="s">
        <v>67</v>
      </c>
      <c r="DZ10" s="546">
        <v>192</v>
      </c>
      <c r="EA10" s="76"/>
      <c r="EB10" s="568" t="s">
        <v>285</v>
      </c>
      <c r="EC10" s="545">
        <v>97</v>
      </c>
      <c r="ED10" s="76"/>
      <c r="EE10" s="563" t="s">
        <v>82</v>
      </c>
      <c r="EF10" s="544">
        <v>194</v>
      </c>
      <c r="EG10" s="76"/>
      <c r="EH10" s="555" t="s">
        <v>283</v>
      </c>
      <c r="EI10" s="547">
        <v>93</v>
      </c>
      <c r="EJ10" s="76"/>
      <c r="EK10" s="567" t="s">
        <v>67</v>
      </c>
      <c r="EL10" s="550">
        <v>822</v>
      </c>
      <c r="EY10" s="657" t="s">
        <v>27</v>
      </c>
      <c r="EZ10" s="661">
        <v>203</v>
      </c>
      <c r="FA10" s="76"/>
      <c r="FB10" s="660" t="s">
        <v>31</v>
      </c>
      <c r="FC10" s="665">
        <v>92</v>
      </c>
      <c r="FD10" s="76"/>
      <c r="FE10" s="657" t="s">
        <v>27</v>
      </c>
      <c r="FF10" s="661">
        <v>203</v>
      </c>
      <c r="FG10" s="671"/>
      <c r="FH10" s="659" t="s">
        <v>292</v>
      </c>
      <c r="FI10" s="664">
        <v>82</v>
      </c>
      <c r="FJ10" s="76"/>
      <c r="FK10" s="659" t="s">
        <v>96</v>
      </c>
      <c r="FL10" s="669">
        <v>847</v>
      </c>
      <c r="FY10" s="840" t="s">
        <v>2</v>
      </c>
      <c r="FZ10" s="48">
        <v>193</v>
      </c>
      <c r="GB10" s="847" t="s">
        <v>29</v>
      </c>
      <c r="GC10" s="846">
        <v>92</v>
      </c>
      <c r="GE10" s="847" t="s">
        <v>66</v>
      </c>
      <c r="GF10" s="852">
        <v>194</v>
      </c>
      <c r="GH10" s="841" t="s">
        <v>26</v>
      </c>
      <c r="GI10" s="294">
        <v>86</v>
      </c>
      <c r="GK10" s="840" t="s">
        <v>2</v>
      </c>
      <c r="GL10" s="92">
        <v>833</v>
      </c>
    </row>
    <row r="11" spans="1:209" ht="15.75">
      <c r="B11" s="70" t="s">
        <v>222</v>
      </c>
      <c r="C11" s="221">
        <v>223</v>
      </c>
      <c r="D11" s="105"/>
      <c r="E11" s="869" t="s">
        <v>99</v>
      </c>
      <c r="F11" s="849">
        <v>75</v>
      </c>
      <c r="G11" s="105"/>
      <c r="H11" s="70" t="s">
        <v>2</v>
      </c>
      <c r="I11" s="226">
        <v>905</v>
      </c>
      <c r="K11" s="106" t="s">
        <v>113</v>
      </c>
      <c r="L11" s="201" t="s">
        <v>17</v>
      </c>
      <c r="M11" s="201">
        <v>3969</v>
      </c>
      <c r="N11" s="107"/>
      <c r="O11" s="106" t="s">
        <v>113</v>
      </c>
      <c r="P11" s="182" t="s">
        <v>2</v>
      </c>
      <c r="Q11" s="212">
        <v>905</v>
      </c>
      <c r="Y11" s="132" t="s">
        <v>68</v>
      </c>
      <c r="Z11" s="125">
        <v>192</v>
      </c>
      <c r="AA11" s="76"/>
      <c r="AB11" s="192" t="s">
        <v>219</v>
      </c>
      <c r="AC11" s="196">
        <v>89</v>
      </c>
      <c r="AD11" s="76"/>
      <c r="AE11" s="185" t="s">
        <v>96</v>
      </c>
      <c r="AF11" s="124">
        <v>200</v>
      </c>
      <c r="AG11" s="76"/>
      <c r="AH11" s="70" t="s">
        <v>118</v>
      </c>
      <c r="AI11" s="126">
        <v>89</v>
      </c>
      <c r="AJ11" s="76"/>
      <c r="AK11" s="132" t="s">
        <v>68</v>
      </c>
      <c r="AL11" s="196">
        <v>814</v>
      </c>
      <c r="AY11" s="216" t="s">
        <v>67</v>
      </c>
      <c r="AZ11" s="196">
        <v>195</v>
      </c>
      <c r="BA11" s="76"/>
      <c r="BB11" s="216" t="s">
        <v>29</v>
      </c>
      <c r="BC11" s="196">
        <v>100</v>
      </c>
      <c r="BD11" s="76"/>
      <c r="BE11" s="133" t="s">
        <v>37</v>
      </c>
      <c r="BF11" s="230">
        <v>197</v>
      </c>
      <c r="BG11" s="76"/>
      <c r="BH11" s="222" t="s">
        <v>8</v>
      </c>
      <c r="BI11" s="223">
        <v>96</v>
      </c>
      <c r="BJ11" s="76"/>
      <c r="BK11" s="132" t="s">
        <v>66</v>
      </c>
      <c r="BL11" s="231">
        <v>833</v>
      </c>
      <c r="BY11" s="70" t="s">
        <v>16</v>
      </c>
      <c r="BZ11" s="92">
        <v>190</v>
      </c>
      <c r="CA11" s="76"/>
      <c r="CB11" s="132" t="s">
        <v>79</v>
      </c>
      <c r="CC11" s="196">
        <v>100</v>
      </c>
      <c r="CD11" s="76"/>
      <c r="CE11" s="186" t="s">
        <v>8</v>
      </c>
      <c r="CF11" s="122">
        <v>201</v>
      </c>
      <c r="CG11" s="76"/>
      <c r="CH11" s="135" t="s">
        <v>19</v>
      </c>
      <c r="CI11" s="122">
        <v>98</v>
      </c>
      <c r="CJ11" s="76"/>
      <c r="CK11" s="70" t="s">
        <v>59</v>
      </c>
      <c r="CL11" s="92">
        <v>831</v>
      </c>
      <c r="CY11" s="295" t="s">
        <v>8</v>
      </c>
      <c r="CZ11" s="304">
        <v>193</v>
      </c>
      <c r="DA11" s="76"/>
      <c r="DB11" s="297" t="s">
        <v>118</v>
      </c>
      <c r="DC11" s="71">
        <v>89</v>
      </c>
      <c r="DD11" s="76"/>
      <c r="DE11" s="295" t="s">
        <v>8</v>
      </c>
      <c r="DF11" s="296">
        <v>193</v>
      </c>
      <c r="DG11" s="76"/>
      <c r="DH11" s="293" t="s">
        <v>127</v>
      </c>
      <c r="DI11" s="294">
        <v>87</v>
      </c>
      <c r="DJ11" s="76"/>
      <c r="DK11" s="299" t="s">
        <v>67</v>
      </c>
      <c r="DL11" s="300">
        <v>807</v>
      </c>
      <c r="DY11" s="569" t="s">
        <v>2</v>
      </c>
      <c r="DZ11" s="71">
        <v>191</v>
      </c>
      <c r="EA11" s="76"/>
      <c r="EB11" s="567" t="s">
        <v>79</v>
      </c>
      <c r="EC11" s="546">
        <v>97</v>
      </c>
      <c r="ED11" s="76"/>
      <c r="EE11" s="567" t="s">
        <v>28</v>
      </c>
      <c r="EF11" s="546">
        <v>192</v>
      </c>
      <c r="EG11" s="76"/>
      <c r="EH11" s="568" t="s">
        <v>285</v>
      </c>
      <c r="EI11" s="545">
        <v>97</v>
      </c>
      <c r="EJ11" s="76"/>
      <c r="EK11" s="569" t="s">
        <v>2</v>
      </c>
      <c r="EL11" s="92">
        <v>805</v>
      </c>
      <c r="EY11" s="70" t="s">
        <v>16</v>
      </c>
      <c r="EZ11" s="663">
        <v>201</v>
      </c>
      <c r="FA11" s="76"/>
      <c r="FB11" s="657" t="s">
        <v>61</v>
      </c>
      <c r="FC11" s="661">
        <v>93</v>
      </c>
      <c r="FD11" s="76"/>
      <c r="FE11" s="70" t="s">
        <v>2</v>
      </c>
      <c r="FF11" s="663">
        <v>202</v>
      </c>
      <c r="FG11" s="671"/>
      <c r="FH11" s="660" t="s">
        <v>254</v>
      </c>
      <c r="FI11" s="665">
        <v>88</v>
      </c>
      <c r="FJ11" s="76"/>
      <c r="FK11" s="657" t="s">
        <v>3</v>
      </c>
      <c r="FL11" s="666">
        <v>834</v>
      </c>
      <c r="FY11" s="841" t="s">
        <v>96</v>
      </c>
      <c r="FZ11" s="850">
        <v>190</v>
      </c>
      <c r="GB11" s="847" t="s">
        <v>296</v>
      </c>
      <c r="GC11" s="846">
        <v>95</v>
      </c>
      <c r="GE11" s="840" t="s">
        <v>2</v>
      </c>
      <c r="GF11" s="126">
        <v>193</v>
      </c>
      <c r="GH11" s="841" t="s">
        <v>292</v>
      </c>
      <c r="GI11" s="294">
        <v>87</v>
      </c>
      <c r="GK11" s="840" t="s">
        <v>16</v>
      </c>
      <c r="GL11" s="92">
        <v>816</v>
      </c>
    </row>
    <row r="12" spans="1:209" ht="15.75">
      <c r="B12" s="70" t="s">
        <v>2</v>
      </c>
      <c r="C12" s="221">
        <v>223</v>
      </c>
      <c r="D12" s="105"/>
      <c r="E12" s="870" t="s">
        <v>94</v>
      </c>
      <c r="F12" s="852">
        <v>75</v>
      </c>
      <c r="G12" s="105"/>
      <c r="H12" s="866" t="s">
        <v>3</v>
      </c>
      <c r="I12" s="846">
        <v>901</v>
      </c>
      <c r="K12" s="946" t="s">
        <v>212</v>
      </c>
      <c r="L12" s="946"/>
      <c r="M12" s="946"/>
      <c r="N12" s="946"/>
      <c r="O12" s="946"/>
      <c r="P12" s="946"/>
      <c r="Q12" s="111" t="s">
        <v>122</v>
      </c>
      <c r="Y12" s="188" t="s">
        <v>66</v>
      </c>
      <c r="Z12" s="125">
        <v>189</v>
      </c>
      <c r="AA12" s="76"/>
      <c r="AB12" s="185" t="s">
        <v>127</v>
      </c>
      <c r="AC12" s="198">
        <v>91</v>
      </c>
      <c r="AD12" s="76"/>
      <c r="AE12" s="185" t="s">
        <v>72</v>
      </c>
      <c r="AF12" s="124">
        <v>193</v>
      </c>
      <c r="AG12" s="76"/>
      <c r="AH12" s="192" t="s">
        <v>219</v>
      </c>
      <c r="AI12" s="125">
        <v>89</v>
      </c>
      <c r="AJ12" s="76"/>
      <c r="AK12" s="185" t="s">
        <v>96</v>
      </c>
      <c r="AL12" s="198">
        <v>799</v>
      </c>
      <c r="AY12" s="137" t="s">
        <v>100</v>
      </c>
      <c r="AZ12" s="196">
        <v>194</v>
      </c>
      <c r="BA12" s="76"/>
      <c r="BB12" s="216" t="s">
        <v>28</v>
      </c>
      <c r="BC12" s="196">
        <v>105</v>
      </c>
      <c r="BD12" s="76"/>
      <c r="BE12" s="135" t="s">
        <v>223</v>
      </c>
      <c r="BF12" s="223">
        <v>196</v>
      </c>
      <c r="BG12" s="76"/>
      <c r="BH12" s="225" t="s">
        <v>73</v>
      </c>
      <c r="BI12" s="221">
        <v>96</v>
      </c>
      <c r="BJ12" s="76"/>
      <c r="BK12" s="132" t="s">
        <v>68</v>
      </c>
      <c r="BL12" s="231">
        <v>831</v>
      </c>
      <c r="BY12" s="132" t="s">
        <v>94</v>
      </c>
      <c r="BZ12" s="196">
        <v>189</v>
      </c>
      <c r="CA12" s="76"/>
      <c r="CB12" s="188" t="s">
        <v>80</v>
      </c>
      <c r="CC12" s="196">
        <v>100</v>
      </c>
      <c r="CD12" s="76"/>
      <c r="CE12" s="70" t="s">
        <v>2</v>
      </c>
      <c r="CF12" s="126">
        <v>199</v>
      </c>
      <c r="CG12" s="76"/>
      <c r="CH12" s="132" t="s">
        <v>243</v>
      </c>
      <c r="CI12" s="125">
        <v>98</v>
      </c>
      <c r="CJ12" s="76"/>
      <c r="CK12" s="134" t="s">
        <v>100</v>
      </c>
      <c r="CL12" s="198">
        <v>824</v>
      </c>
      <c r="CY12" s="295" t="s">
        <v>3</v>
      </c>
      <c r="CZ12" s="304">
        <v>192</v>
      </c>
      <c r="DA12" s="76"/>
      <c r="DB12" s="299" t="s">
        <v>30</v>
      </c>
      <c r="DC12" s="306">
        <v>91</v>
      </c>
      <c r="DD12" s="76"/>
      <c r="DE12" s="295" t="s">
        <v>3</v>
      </c>
      <c r="DF12" s="296">
        <v>192</v>
      </c>
      <c r="DG12" s="76"/>
      <c r="DH12" s="297" t="s">
        <v>118</v>
      </c>
      <c r="DI12" s="126">
        <v>89</v>
      </c>
      <c r="DJ12" s="76"/>
      <c r="DK12" s="295" t="s">
        <v>34</v>
      </c>
      <c r="DL12" s="296">
        <v>791</v>
      </c>
      <c r="DY12" s="563" t="s">
        <v>18</v>
      </c>
      <c r="DZ12" s="544">
        <v>187</v>
      </c>
      <c r="EA12" s="76"/>
      <c r="EB12" s="563" t="s">
        <v>288</v>
      </c>
      <c r="EC12" s="544">
        <v>98</v>
      </c>
      <c r="ED12" s="76"/>
      <c r="EE12" s="567" t="s">
        <v>67</v>
      </c>
      <c r="EF12" s="546">
        <v>192</v>
      </c>
      <c r="EG12" s="76"/>
      <c r="EH12" s="567" t="s">
        <v>287</v>
      </c>
      <c r="EI12" s="546">
        <v>97</v>
      </c>
      <c r="EJ12" s="76"/>
      <c r="EK12" s="565" t="s">
        <v>34</v>
      </c>
      <c r="EL12" s="551">
        <v>802</v>
      </c>
      <c r="EY12" s="657" t="s">
        <v>35</v>
      </c>
      <c r="EZ12" s="661">
        <v>195</v>
      </c>
      <c r="FA12" s="76"/>
      <c r="FB12" s="659" t="s">
        <v>285</v>
      </c>
      <c r="FC12" s="664">
        <v>94</v>
      </c>
      <c r="FD12" s="76"/>
      <c r="FE12" s="70" t="s">
        <v>16</v>
      </c>
      <c r="FF12" s="663">
        <v>201</v>
      </c>
      <c r="FG12" s="671"/>
      <c r="FH12" s="660" t="s">
        <v>254</v>
      </c>
      <c r="FI12" s="665">
        <v>88</v>
      </c>
      <c r="FJ12" s="76"/>
      <c r="FK12" s="659" t="s">
        <v>60</v>
      </c>
      <c r="FL12" s="669">
        <v>823</v>
      </c>
      <c r="FY12" s="848" t="s">
        <v>5</v>
      </c>
      <c r="FZ12" s="849">
        <v>185</v>
      </c>
      <c r="GB12" s="841" t="s">
        <v>106</v>
      </c>
      <c r="GC12" s="850">
        <v>95</v>
      </c>
      <c r="GE12" s="841" t="s">
        <v>96</v>
      </c>
      <c r="GF12" s="294">
        <v>190</v>
      </c>
      <c r="GH12" s="844" t="s">
        <v>77</v>
      </c>
      <c r="GI12" s="846">
        <v>87</v>
      </c>
      <c r="GK12" s="848" t="s">
        <v>5</v>
      </c>
      <c r="GL12" s="853">
        <v>810</v>
      </c>
    </row>
    <row r="13" spans="1:209" ht="15.75">
      <c r="B13" s="603" t="s">
        <v>32</v>
      </c>
      <c r="C13" s="71">
        <v>223</v>
      </c>
      <c r="D13" s="105"/>
      <c r="E13" s="866" t="s">
        <v>77</v>
      </c>
      <c r="F13" s="846">
        <v>75</v>
      </c>
      <c r="G13" s="105"/>
      <c r="H13" s="70" t="s">
        <v>222</v>
      </c>
      <c r="I13" s="197">
        <v>901</v>
      </c>
      <c r="K13" s="106" t="s">
        <v>111</v>
      </c>
      <c r="L13" s="202" t="s">
        <v>0</v>
      </c>
      <c r="M13" s="202">
        <v>4006</v>
      </c>
      <c r="N13" s="107"/>
      <c r="O13" s="106" t="s">
        <v>111</v>
      </c>
      <c r="P13" s="213" t="s">
        <v>27</v>
      </c>
      <c r="Q13" s="214">
        <v>960</v>
      </c>
      <c r="Y13" s="186" t="s">
        <v>34</v>
      </c>
      <c r="Z13" s="122">
        <v>188</v>
      </c>
      <c r="AA13" s="77"/>
      <c r="AB13" s="185" t="s">
        <v>14</v>
      </c>
      <c r="AC13" s="198">
        <v>97</v>
      </c>
      <c r="AD13" s="77"/>
      <c r="AE13" s="186" t="s">
        <v>3</v>
      </c>
      <c r="AF13" s="122">
        <v>192</v>
      </c>
      <c r="AG13" s="77"/>
      <c r="AH13" s="187" t="s">
        <v>15</v>
      </c>
      <c r="AI13" s="126">
        <v>89</v>
      </c>
      <c r="AJ13" s="77"/>
      <c r="AK13" s="184" t="s">
        <v>82</v>
      </c>
      <c r="AL13" s="194">
        <v>796</v>
      </c>
      <c r="AY13" s="137" t="s">
        <v>1</v>
      </c>
      <c r="AZ13" s="196">
        <v>189</v>
      </c>
      <c r="BA13" s="77"/>
      <c r="BB13" s="136" t="s">
        <v>13</v>
      </c>
      <c r="BC13" s="196">
        <v>107</v>
      </c>
      <c r="BD13" s="77"/>
      <c r="BE13" s="132" t="s">
        <v>67</v>
      </c>
      <c r="BF13" s="228">
        <v>195</v>
      </c>
      <c r="BG13" s="77"/>
      <c r="BH13" s="225" t="s">
        <v>101</v>
      </c>
      <c r="BI13" s="221">
        <v>98</v>
      </c>
      <c r="BJ13" s="77"/>
      <c r="BK13" s="133" t="s">
        <v>9</v>
      </c>
      <c r="BL13" s="229">
        <v>826</v>
      </c>
      <c r="BY13" s="135" t="s">
        <v>46</v>
      </c>
      <c r="BZ13" s="195">
        <v>187</v>
      </c>
      <c r="CA13" s="77"/>
      <c r="CB13" s="134" t="s">
        <v>98</v>
      </c>
      <c r="CC13" s="198">
        <v>100</v>
      </c>
      <c r="CD13" s="77"/>
      <c r="CE13" s="133" t="s">
        <v>82</v>
      </c>
      <c r="CF13" s="123">
        <v>197</v>
      </c>
      <c r="CG13" s="77"/>
      <c r="CH13" s="135" t="s">
        <v>19</v>
      </c>
      <c r="CI13" s="122">
        <v>98</v>
      </c>
      <c r="CJ13" s="77"/>
      <c r="CK13" s="186" t="s">
        <v>3</v>
      </c>
      <c r="CL13" s="195">
        <v>814</v>
      </c>
      <c r="CY13" s="293" t="s">
        <v>96</v>
      </c>
      <c r="CZ13" s="303">
        <v>190</v>
      </c>
      <c r="DA13" s="77"/>
      <c r="DB13" s="299" t="s">
        <v>253</v>
      </c>
      <c r="DC13" s="306">
        <v>92</v>
      </c>
      <c r="DD13" s="77"/>
      <c r="DE13" s="133" t="s">
        <v>5</v>
      </c>
      <c r="DF13" s="123">
        <v>191</v>
      </c>
      <c r="DG13" s="77"/>
      <c r="DH13" s="299" t="s">
        <v>30</v>
      </c>
      <c r="DI13" s="300">
        <v>91</v>
      </c>
      <c r="DJ13" s="77"/>
      <c r="DK13" s="133" t="s">
        <v>37</v>
      </c>
      <c r="DL13" s="123">
        <v>785</v>
      </c>
      <c r="DY13" s="567" t="s">
        <v>95</v>
      </c>
      <c r="DZ13" s="546">
        <v>186</v>
      </c>
      <c r="EA13" s="77"/>
      <c r="EB13" s="567" t="s">
        <v>124</v>
      </c>
      <c r="EC13" s="546">
        <v>98</v>
      </c>
      <c r="ED13" s="77"/>
      <c r="EE13" s="569" t="s">
        <v>2</v>
      </c>
      <c r="EF13" s="71">
        <v>191</v>
      </c>
      <c r="EG13" s="77"/>
      <c r="EH13" s="567" t="s">
        <v>79</v>
      </c>
      <c r="EI13" s="546">
        <v>97</v>
      </c>
      <c r="EJ13" s="77"/>
      <c r="EK13" s="567" t="s">
        <v>95</v>
      </c>
      <c r="EL13" s="550">
        <v>801</v>
      </c>
      <c r="EY13" s="658" t="s">
        <v>82</v>
      </c>
      <c r="EZ13" s="662">
        <v>193</v>
      </c>
      <c r="FA13" s="77"/>
      <c r="FB13" s="659" t="s">
        <v>104</v>
      </c>
      <c r="FC13" s="664">
        <v>94</v>
      </c>
      <c r="FD13" s="77"/>
      <c r="FE13" s="70" t="s">
        <v>222</v>
      </c>
      <c r="FF13" s="663">
        <v>197</v>
      </c>
      <c r="FG13" s="672"/>
      <c r="FH13" s="70" t="s">
        <v>15</v>
      </c>
      <c r="FI13" s="663">
        <v>89</v>
      </c>
      <c r="FJ13" s="77"/>
      <c r="FK13" s="657" t="s">
        <v>35</v>
      </c>
      <c r="FL13" s="666">
        <v>814</v>
      </c>
      <c r="FY13" s="844" t="s">
        <v>3</v>
      </c>
      <c r="FZ13" s="846">
        <v>184</v>
      </c>
      <c r="GA13" s="854"/>
      <c r="GB13" s="844" t="s">
        <v>8</v>
      </c>
      <c r="GC13" s="846">
        <v>99</v>
      </c>
      <c r="GD13" s="854"/>
      <c r="GE13" s="840" t="s">
        <v>222</v>
      </c>
      <c r="GF13" s="126">
        <v>185</v>
      </c>
      <c r="GG13" s="854"/>
      <c r="GH13" s="847" t="s">
        <v>29</v>
      </c>
      <c r="GI13" s="852">
        <v>92</v>
      </c>
      <c r="GJ13" s="854"/>
      <c r="GK13" s="848" t="s">
        <v>82</v>
      </c>
      <c r="GL13" s="853">
        <v>809</v>
      </c>
    </row>
    <row r="14" spans="1:209" ht="15.75">
      <c r="B14" s="871" t="s">
        <v>222</v>
      </c>
      <c r="C14" s="48">
        <v>223</v>
      </c>
      <c r="D14" s="105"/>
      <c r="E14" s="865" t="s">
        <v>14</v>
      </c>
      <c r="F14" s="850">
        <v>76</v>
      </c>
      <c r="G14" s="105"/>
      <c r="H14" s="70" t="s">
        <v>2</v>
      </c>
      <c r="I14" s="92">
        <v>897</v>
      </c>
      <c r="K14" s="106" t="s">
        <v>112</v>
      </c>
      <c r="L14" s="200" t="s">
        <v>6</v>
      </c>
      <c r="M14" s="200">
        <v>3876</v>
      </c>
      <c r="N14" s="107"/>
      <c r="O14" s="106" t="s">
        <v>112</v>
      </c>
      <c r="P14" s="182" t="s">
        <v>2</v>
      </c>
      <c r="Q14" s="212">
        <v>897</v>
      </c>
      <c r="Y14" s="189" t="s">
        <v>59</v>
      </c>
      <c r="Z14" s="48">
        <v>187</v>
      </c>
      <c r="AA14" s="76"/>
      <c r="AB14" s="187" t="s">
        <v>123</v>
      </c>
      <c r="AC14" s="92">
        <v>98</v>
      </c>
      <c r="AD14" s="76"/>
      <c r="AE14" s="184" t="s">
        <v>9</v>
      </c>
      <c r="AF14" s="123">
        <v>192</v>
      </c>
      <c r="AG14" s="76"/>
      <c r="AH14" s="185" t="s">
        <v>127</v>
      </c>
      <c r="AI14" s="124">
        <v>91</v>
      </c>
      <c r="AJ14" s="76"/>
      <c r="AK14" s="186" t="s">
        <v>34</v>
      </c>
      <c r="AL14" s="195">
        <v>786</v>
      </c>
      <c r="AY14" s="136" t="s">
        <v>46</v>
      </c>
      <c r="AZ14" s="196">
        <v>187</v>
      </c>
      <c r="BA14" s="76"/>
      <c r="BB14" s="217" t="s">
        <v>18</v>
      </c>
      <c r="BC14" s="196">
        <v>107</v>
      </c>
      <c r="BD14" s="76"/>
      <c r="BE14" s="135" t="s">
        <v>3</v>
      </c>
      <c r="BF14" s="223">
        <v>194</v>
      </c>
      <c r="BG14" s="76"/>
      <c r="BH14" s="225" t="s">
        <v>101</v>
      </c>
      <c r="BI14" s="221">
        <v>99</v>
      </c>
      <c r="BJ14" s="76"/>
      <c r="BK14" s="133" t="s">
        <v>82</v>
      </c>
      <c r="BL14" s="229">
        <v>815</v>
      </c>
      <c r="BY14" s="188" t="s">
        <v>66</v>
      </c>
      <c r="BZ14" s="196">
        <v>185</v>
      </c>
      <c r="CA14" s="76"/>
      <c r="CB14" s="135" t="s">
        <v>46</v>
      </c>
      <c r="CC14" s="195">
        <v>103</v>
      </c>
      <c r="CD14" s="76"/>
      <c r="CE14" s="186" t="s">
        <v>8</v>
      </c>
      <c r="CF14" s="122">
        <v>197</v>
      </c>
      <c r="CG14" s="76"/>
      <c r="CH14" s="70" t="s">
        <v>118</v>
      </c>
      <c r="CI14" s="126">
        <v>99</v>
      </c>
      <c r="CJ14" s="76"/>
      <c r="CK14" s="134" t="s">
        <v>106</v>
      </c>
      <c r="CL14" s="198">
        <v>811</v>
      </c>
      <c r="CY14" s="295" t="s">
        <v>46</v>
      </c>
      <c r="CZ14" s="304">
        <v>186</v>
      </c>
      <c r="DA14" s="76"/>
      <c r="DB14" s="299" t="s">
        <v>254</v>
      </c>
      <c r="DC14" s="306">
        <v>94</v>
      </c>
      <c r="DD14" s="76"/>
      <c r="DE14" s="293" t="s">
        <v>96</v>
      </c>
      <c r="DF14" s="294">
        <v>190</v>
      </c>
      <c r="DG14" s="76"/>
      <c r="DH14" s="299" t="s">
        <v>94</v>
      </c>
      <c r="DI14" s="300">
        <v>91</v>
      </c>
      <c r="DJ14" s="76"/>
      <c r="DK14" s="299" t="s">
        <v>124</v>
      </c>
      <c r="DL14" s="300">
        <v>779</v>
      </c>
      <c r="DY14" s="565" t="s">
        <v>35</v>
      </c>
      <c r="DZ14" s="547">
        <v>186</v>
      </c>
      <c r="EA14" s="76"/>
      <c r="EB14" s="563" t="s">
        <v>289</v>
      </c>
      <c r="EC14" s="544">
        <v>99</v>
      </c>
      <c r="ED14" s="76"/>
      <c r="EE14" s="566" t="s">
        <v>27</v>
      </c>
      <c r="EF14" s="547">
        <v>187</v>
      </c>
      <c r="EG14" s="76"/>
      <c r="EH14" s="567" t="s">
        <v>124</v>
      </c>
      <c r="EI14" s="546">
        <v>98</v>
      </c>
      <c r="EJ14" s="76"/>
      <c r="EK14" s="568" t="s">
        <v>106</v>
      </c>
      <c r="EL14" s="549">
        <v>795</v>
      </c>
      <c r="EY14" s="658" t="s">
        <v>5</v>
      </c>
      <c r="EZ14" s="662">
        <v>192</v>
      </c>
      <c r="FA14" s="76"/>
      <c r="FB14" s="657" t="s">
        <v>77</v>
      </c>
      <c r="FC14" s="661">
        <v>100</v>
      </c>
      <c r="FD14" s="76"/>
      <c r="FE14" s="657" t="s">
        <v>35</v>
      </c>
      <c r="FF14" s="661">
        <v>195</v>
      </c>
      <c r="FG14" s="671"/>
      <c r="FH14" s="659" t="s">
        <v>93</v>
      </c>
      <c r="FI14" s="664">
        <v>90</v>
      </c>
      <c r="FJ14" s="76"/>
      <c r="FK14" s="660" t="s">
        <v>66</v>
      </c>
      <c r="FL14" s="670">
        <v>814</v>
      </c>
      <c r="FY14" s="844" t="s">
        <v>34</v>
      </c>
      <c r="FZ14" s="846">
        <v>183</v>
      </c>
      <c r="GB14" s="848" t="s">
        <v>99</v>
      </c>
      <c r="GC14" s="849">
        <v>99</v>
      </c>
      <c r="GE14" s="848" t="s">
        <v>5</v>
      </c>
      <c r="GF14" s="851">
        <v>185</v>
      </c>
      <c r="GG14" s="855"/>
      <c r="GH14" s="847" t="s">
        <v>29</v>
      </c>
      <c r="GI14" s="852">
        <v>94</v>
      </c>
      <c r="GJ14" s="855"/>
      <c r="GK14" s="848" t="s">
        <v>36</v>
      </c>
      <c r="GL14" s="853">
        <v>803</v>
      </c>
    </row>
    <row r="15" spans="1:209" ht="15.75">
      <c r="B15" s="293" t="s">
        <v>262</v>
      </c>
      <c r="C15" s="294">
        <v>221</v>
      </c>
      <c r="D15" s="105"/>
      <c r="E15" s="603" t="s">
        <v>15</v>
      </c>
      <c r="F15" s="71">
        <v>78</v>
      </c>
      <c r="G15" s="105"/>
      <c r="H15" s="865" t="s">
        <v>100</v>
      </c>
      <c r="I15" s="872">
        <v>896</v>
      </c>
      <c r="K15" s="106" t="s">
        <v>113</v>
      </c>
      <c r="L15" s="577" t="s">
        <v>4</v>
      </c>
      <c r="M15" s="267">
        <v>3794</v>
      </c>
      <c r="N15" s="107"/>
      <c r="O15" s="106" t="s">
        <v>113</v>
      </c>
      <c r="P15" s="268" t="s">
        <v>252</v>
      </c>
      <c r="Q15" s="269">
        <v>895</v>
      </c>
      <c r="Y15" s="186" t="s">
        <v>27</v>
      </c>
      <c r="Z15" s="122">
        <v>185</v>
      </c>
      <c r="AA15" s="76"/>
      <c r="AB15" s="185" t="s">
        <v>65</v>
      </c>
      <c r="AC15" s="198">
        <v>99</v>
      </c>
      <c r="AD15" s="76"/>
      <c r="AE15" s="132" t="s">
        <v>68</v>
      </c>
      <c r="AF15" s="125">
        <v>192</v>
      </c>
      <c r="AG15" s="76"/>
      <c r="AH15" s="184" t="s">
        <v>99</v>
      </c>
      <c r="AI15" s="123">
        <v>92</v>
      </c>
      <c r="AJ15" s="76"/>
      <c r="AK15" s="186" t="s">
        <v>35</v>
      </c>
      <c r="AL15" s="195">
        <v>777</v>
      </c>
      <c r="AY15" s="137" t="s">
        <v>106</v>
      </c>
      <c r="AZ15" s="196">
        <v>186</v>
      </c>
      <c r="BA15" s="76"/>
      <c r="BB15" s="137" t="s">
        <v>14</v>
      </c>
      <c r="BC15" s="196">
        <v>107</v>
      </c>
      <c r="BD15" s="76"/>
      <c r="BE15" s="134" t="s">
        <v>100</v>
      </c>
      <c r="BF15" s="232">
        <v>194</v>
      </c>
      <c r="BG15" s="76"/>
      <c r="BH15" s="225" t="s">
        <v>101</v>
      </c>
      <c r="BI15" s="221">
        <v>99</v>
      </c>
      <c r="BJ15" s="76"/>
      <c r="BK15" s="135" t="s">
        <v>34</v>
      </c>
      <c r="BL15" s="224">
        <v>806</v>
      </c>
      <c r="BY15" s="134" t="s">
        <v>100</v>
      </c>
      <c r="BZ15" s="198">
        <v>184</v>
      </c>
      <c r="CA15" s="76"/>
      <c r="CB15" s="134" t="s">
        <v>127</v>
      </c>
      <c r="CC15" s="198">
        <v>103</v>
      </c>
      <c r="CD15" s="76"/>
      <c r="CE15" s="133" t="s">
        <v>242</v>
      </c>
      <c r="CF15" s="123">
        <v>196</v>
      </c>
      <c r="CG15" s="76"/>
      <c r="CH15" s="70" t="s">
        <v>118</v>
      </c>
      <c r="CI15" s="126">
        <v>99</v>
      </c>
      <c r="CJ15" s="76"/>
      <c r="CK15" s="188" t="s">
        <v>66</v>
      </c>
      <c r="CL15" s="196">
        <v>793</v>
      </c>
      <c r="CY15" s="295" t="s">
        <v>225</v>
      </c>
      <c r="CZ15" s="304">
        <v>186</v>
      </c>
      <c r="DA15" s="76"/>
      <c r="DB15" s="299" t="s">
        <v>29</v>
      </c>
      <c r="DC15" s="306">
        <v>97</v>
      </c>
      <c r="DD15" s="76"/>
      <c r="DE15" s="295" t="s">
        <v>3</v>
      </c>
      <c r="DF15" s="296">
        <v>187</v>
      </c>
      <c r="DG15" s="76"/>
      <c r="DH15" s="299" t="s">
        <v>263</v>
      </c>
      <c r="DI15" s="300">
        <v>92</v>
      </c>
      <c r="DJ15" s="76"/>
      <c r="DK15" s="295" t="s">
        <v>8</v>
      </c>
      <c r="DL15" s="296">
        <v>773</v>
      </c>
      <c r="DY15" s="563" t="s">
        <v>290</v>
      </c>
      <c r="DZ15" s="544">
        <v>185</v>
      </c>
      <c r="EA15" s="76"/>
      <c r="EB15" s="568" t="s">
        <v>104</v>
      </c>
      <c r="EC15" s="545">
        <v>99</v>
      </c>
      <c r="ED15" s="76"/>
      <c r="EE15" s="568" t="s">
        <v>60</v>
      </c>
      <c r="EF15" s="545">
        <v>187</v>
      </c>
      <c r="EG15" s="76"/>
      <c r="EH15" s="563" t="s">
        <v>288</v>
      </c>
      <c r="EI15" s="544">
        <v>98</v>
      </c>
      <c r="EJ15" s="76"/>
      <c r="EK15" s="579" t="s">
        <v>222</v>
      </c>
      <c r="EL15" s="581">
        <v>794</v>
      </c>
      <c r="EY15" s="660" t="s">
        <v>66</v>
      </c>
      <c r="EZ15" s="665">
        <v>188</v>
      </c>
      <c r="FA15" s="76"/>
      <c r="FB15" s="70" t="s">
        <v>226</v>
      </c>
      <c r="FC15" s="663">
        <v>102</v>
      </c>
      <c r="FD15" s="76"/>
      <c r="FE15" s="658" t="s">
        <v>82</v>
      </c>
      <c r="FF15" s="662">
        <v>193</v>
      </c>
      <c r="FG15" s="671"/>
      <c r="FH15" s="660" t="s">
        <v>31</v>
      </c>
      <c r="FI15" s="665">
        <v>92</v>
      </c>
      <c r="FJ15" s="76"/>
      <c r="FK15" s="657" t="s">
        <v>244</v>
      </c>
      <c r="FL15" s="666">
        <v>778</v>
      </c>
      <c r="FY15" s="847" t="s">
        <v>68</v>
      </c>
      <c r="FZ15" s="846">
        <v>181</v>
      </c>
      <c r="GB15" s="848" t="s">
        <v>290</v>
      </c>
      <c r="GC15" s="849">
        <v>100</v>
      </c>
      <c r="GE15" s="844" t="s">
        <v>3</v>
      </c>
      <c r="GF15" s="846">
        <v>184</v>
      </c>
      <c r="GG15" s="855"/>
      <c r="GH15" s="841" t="s">
        <v>106</v>
      </c>
      <c r="GI15" s="294">
        <v>95</v>
      </c>
      <c r="GJ15" s="855"/>
      <c r="GK15" s="841" t="s">
        <v>60</v>
      </c>
      <c r="GL15" s="93">
        <v>802</v>
      </c>
    </row>
    <row r="16" spans="1:209" ht="15.75">
      <c r="B16" s="866" t="s">
        <v>3</v>
      </c>
      <c r="C16" s="873">
        <v>218</v>
      </c>
      <c r="D16" s="105"/>
      <c r="E16" s="874" t="s">
        <v>254</v>
      </c>
      <c r="F16" s="852">
        <v>78</v>
      </c>
      <c r="G16" s="105"/>
      <c r="H16" s="869" t="s">
        <v>9</v>
      </c>
      <c r="I16" s="853">
        <v>895</v>
      </c>
      <c r="K16" s="945" t="s">
        <v>213</v>
      </c>
      <c r="L16" s="945"/>
      <c r="M16" s="945"/>
      <c r="N16" s="945"/>
      <c r="O16" s="945"/>
      <c r="P16" s="945"/>
      <c r="Q16" s="111" t="s">
        <v>122</v>
      </c>
      <c r="Y16" s="187" t="s">
        <v>21</v>
      </c>
      <c r="Z16" s="48">
        <v>176</v>
      </c>
      <c r="AA16" s="76"/>
      <c r="AB16" s="133" t="s">
        <v>18</v>
      </c>
      <c r="AC16" s="194">
        <v>102</v>
      </c>
      <c r="AD16" s="76"/>
      <c r="AE16" s="188" t="s">
        <v>66</v>
      </c>
      <c r="AF16" s="125">
        <v>189</v>
      </c>
      <c r="AG16" s="76"/>
      <c r="AH16" s="185" t="s">
        <v>14</v>
      </c>
      <c r="AI16" s="124">
        <v>97</v>
      </c>
      <c r="AJ16" s="76"/>
      <c r="AK16" s="185" t="s">
        <v>60</v>
      </c>
      <c r="AL16" s="198">
        <v>755</v>
      </c>
      <c r="AY16" s="72" t="s">
        <v>224</v>
      </c>
      <c r="AZ16" s="196">
        <v>185</v>
      </c>
      <c r="BA16" s="76"/>
      <c r="BB16" s="216" t="s">
        <v>117</v>
      </c>
      <c r="BC16" s="196">
        <v>109</v>
      </c>
      <c r="BD16" s="76"/>
      <c r="BE16" s="134" t="s">
        <v>100</v>
      </c>
      <c r="BF16" s="232">
        <v>193</v>
      </c>
      <c r="BG16" s="76"/>
      <c r="BH16" s="233" t="s">
        <v>29</v>
      </c>
      <c r="BI16" s="228">
        <v>100</v>
      </c>
      <c r="BJ16" s="76"/>
      <c r="BK16" s="132" t="s">
        <v>67</v>
      </c>
      <c r="BL16" s="231">
        <v>796</v>
      </c>
      <c r="BY16" s="132" t="s">
        <v>67</v>
      </c>
      <c r="BZ16" s="196">
        <v>183</v>
      </c>
      <c r="CA16" s="76"/>
      <c r="CB16" s="132" t="s">
        <v>94</v>
      </c>
      <c r="CC16" s="196">
        <v>104</v>
      </c>
      <c r="CD16" s="76"/>
      <c r="CE16" s="70" t="s">
        <v>16</v>
      </c>
      <c r="CF16" s="126">
        <v>190</v>
      </c>
      <c r="CG16" s="76"/>
      <c r="CH16" s="135" t="s">
        <v>19</v>
      </c>
      <c r="CI16" s="122">
        <v>99</v>
      </c>
      <c r="CJ16" s="76"/>
      <c r="CK16" s="135" t="s">
        <v>35</v>
      </c>
      <c r="CL16" s="195">
        <v>770</v>
      </c>
      <c r="CY16" s="299" t="s">
        <v>124</v>
      </c>
      <c r="CZ16" s="305">
        <v>184</v>
      </c>
      <c r="DA16" s="76"/>
      <c r="DB16" s="299" t="s">
        <v>217</v>
      </c>
      <c r="DC16" s="306">
        <v>98</v>
      </c>
      <c r="DD16" s="76"/>
      <c r="DE16" s="295" t="s">
        <v>46</v>
      </c>
      <c r="DF16" s="296">
        <v>186</v>
      </c>
      <c r="DG16" s="76"/>
      <c r="DH16" s="299" t="s">
        <v>253</v>
      </c>
      <c r="DI16" s="300">
        <v>92</v>
      </c>
      <c r="DJ16" s="76"/>
      <c r="DK16" s="295" t="s">
        <v>46</v>
      </c>
      <c r="DL16" s="296">
        <v>761</v>
      </c>
      <c r="DY16" s="568" t="s">
        <v>100</v>
      </c>
      <c r="DZ16" s="545">
        <v>185</v>
      </c>
      <c r="EA16" s="76"/>
      <c r="EB16" s="565" t="s">
        <v>225</v>
      </c>
      <c r="EC16" s="547">
        <v>102</v>
      </c>
      <c r="ED16" s="76"/>
      <c r="EE16" s="564" t="s">
        <v>18</v>
      </c>
      <c r="EF16" s="544">
        <v>187</v>
      </c>
      <c r="EG16" s="76"/>
      <c r="EH16" s="563" t="s">
        <v>289</v>
      </c>
      <c r="EI16" s="544">
        <v>99</v>
      </c>
      <c r="EJ16" s="76"/>
      <c r="EK16" s="569" t="s">
        <v>16</v>
      </c>
      <c r="EL16" s="92">
        <v>782</v>
      </c>
      <c r="EY16" s="659" t="s">
        <v>96</v>
      </c>
      <c r="EZ16" s="664">
        <v>182</v>
      </c>
      <c r="FA16" s="76"/>
      <c r="FB16" s="660" t="s">
        <v>29</v>
      </c>
      <c r="FC16" s="665">
        <v>102</v>
      </c>
      <c r="FD16" s="76"/>
      <c r="FE16" s="658" t="s">
        <v>5</v>
      </c>
      <c r="FF16" s="662">
        <v>192</v>
      </c>
      <c r="FG16" s="671"/>
      <c r="FH16" s="657" t="s">
        <v>61</v>
      </c>
      <c r="FI16" s="661">
        <v>93</v>
      </c>
      <c r="FJ16" s="76"/>
      <c r="FK16" s="70" t="s">
        <v>16</v>
      </c>
      <c r="FL16" s="668">
        <v>775</v>
      </c>
      <c r="FY16" s="847" t="s">
        <v>28</v>
      </c>
      <c r="FZ16" s="846">
        <v>181</v>
      </c>
      <c r="GB16" s="848" t="s">
        <v>81</v>
      </c>
      <c r="GC16" s="849">
        <v>101</v>
      </c>
      <c r="GE16" s="844" t="s">
        <v>34</v>
      </c>
      <c r="GF16" s="846">
        <v>183</v>
      </c>
      <c r="GG16" s="855"/>
      <c r="GH16" s="847" t="s">
        <v>296</v>
      </c>
      <c r="GI16" s="852">
        <v>95</v>
      </c>
      <c r="GJ16" s="855"/>
      <c r="GK16" s="844" t="s">
        <v>34</v>
      </c>
      <c r="GL16" s="94">
        <v>796</v>
      </c>
    </row>
    <row r="17" spans="1:194" ht="15.75">
      <c r="B17" s="866" t="s">
        <v>34</v>
      </c>
      <c r="C17" s="846">
        <v>218</v>
      </c>
      <c r="D17" s="105"/>
      <c r="E17" s="187" t="s">
        <v>101</v>
      </c>
      <c r="F17" s="126">
        <v>79</v>
      </c>
      <c r="G17" s="105"/>
      <c r="H17" s="864" t="s">
        <v>82</v>
      </c>
      <c r="I17" s="853">
        <v>895</v>
      </c>
      <c r="K17" s="106" t="s">
        <v>111</v>
      </c>
      <c r="L17" s="202" t="s">
        <v>0</v>
      </c>
      <c r="M17" s="202">
        <v>4045</v>
      </c>
      <c r="N17" s="107"/>
      <c r="O17" s="106" t="s">
        <v>111</v>
      </c>
      <c r="P17" s="813" t="s">
        <v>3</v>
      </c>
      <c r="Q17" s="214">
        <v>901</v>
      </c>
      <c r="Y17" s="186" t="s">
        <v>78</v>
      </c>
      <c r="Z17" s="122">
        <v>172</v>
      </c>
      <c r="AA17" s="76"/>
      <c r="AB17" s="132" t="s">
        <v>67</v>
      </c>
      <c r="AC17" s="196">
        <v>102</v>
      </c>
      <c r="AD17" s="76"/>
      <c r="AE17" s="187" t="s">
        <v>2</v>
      </c>
      <c r="AF17" s="126">
        <v>188</v>
      </c>
      <c r="AG17" s="76"/>
      <c r="AH17" s="188" t="s">
        <v>29</v>
      </c>
      <c r="AI17" s="125">
        <v>98</v>
      </c>
      <c r="AJ17" s="76"/>
      <c r="AK17" s="184" t="s">
        <v>5</v>
      </c>
      <c r="AL17" s="194">
        <v>752</v>
      </c>
      <c r="AY17" s="217" t="s">
        <v>10</v>
      </c>
      <c r="AZ17" s="196">
        <v>184</v>
      </c>
      <c r="BA17" s="76"/>
      <c r="BB17" s="72" t="s">
        <v>224</v>
      </c>
      <c r="BC17" s="196">
        <v>109</v>
      </c>
      <c r="BD17" s="76"/>
      <c r="BE17" s="134" t="s">
        <v>1</v>
      </c>
      <c r="BF17" s="232">
        <v>189</v>
      </c>
      <c r="BG17" s="76"/>
      <c r="BH17" s="233" t="s">
        <v>217</v>
      </c>
      <c r="BI17" s="228">
        <v>103</v>
      </c>
      <c r="BJ17" s="76"/>
      <c r="BK17" s="134" t="s">
        <v>60</v>
      </c>
      <c r="BL17" s="227">
        <v>790</v>
      </c>
      <c r="BY17" s="134" t="s">
        <v>106</v>
      </c>
      <c r="BZ17" s="198">
        <v>182</v>
      </c>
      <c r="CA17" s="76"/>
      <c r="CB17" s="70" t="s">
        <v>16</v>
      </c>
      <c r="CC17" s="92">
        <v>104</v>
      </c>
      <c r="CD17" s="76"/>
      <c r="CE17" s="132" t="s">
        <v>94</v>
      </c>
      <c r="CF17" s="125">
        <v>189</v>
      </c>
      <c r="CG17" s="76"/>
      <c r="CH17" s="188" t="s">
        <v>80</v>
      </c>
      <c r="CI17" s="125">
        <v>100</v>
      </c>
      <c r="CJ17" s="76"/>
      <c r="CK17" s="70" t="s">
        <v>16</v>
      </c>
      <c r="CL17" s="92">
        <v>770</v>
      </c>
      <c r="CY17" s="295" t="s">
        <v>19</v>
      </c>
      <c r="CZ17" s="304">
        <v>182</v>
      </c>
      <c r="DA17" s="76"/>
      <c r="DB17" s="297" t="s">
        <v>220</v>
      </c>
      <c r="DC17" s="71">
        <v>99</v>
      </c>
      <c r="DD17" s="76"/>
      <c r="DE17" s="295" t="s">
        <v>225</v>
      </c>
      <c r="DF17" s="296">
        <v>186</v>
      </c>
      <c r="DG17" s="76"/>
      <c r="DH17" s="299" t="s">
        <v>253</v>
      </c>
      <c r="DI17" s="300">
        <v>93</v>
      </c>
      <c r="DJ17" s="76"/>
      <c r="DK17" s="297" t="s">
        <v>226</v>
      </c>
      <c r="DL17" s="126">
        <v>754</v>
      </c>
      <c r="DY17" s="567" t="s">
        <v>124</v>
      </c>
      <c r="DZ17" s="546">
        <v>183</v>
      </c>
      <c r="EA17" s="76"/>
      <c r="EB17" s="565" t="s">
        <v>125</v>
      </c>
      <c r="EC17" s="547">
        <v>103</v>
      </c>
      <c r="ED17" s="76"/>
      <c r="EE17" s="567" t="s">
        <v>95</v>
      </c>
      <c r="EF17" s="546">
        <v>186</v>
      </c>
      <c r="EG17" s="76"/>
      <c r="EH17" s="567" t="s">
        <v>79</v>
      </c>
      <c r="EI17" s="546">
        <v>99</v>
      </c>
      <c r="EJ17" s="76"/>
      <c r="EK17" s="565" t="s">
        <v>35</v>
      </c>
      <c r="EL17" s="551">
        <v>776</v>
      </c>
      <c r="EY17" s="660" t="s">
        <v>124</v>
      </c>
      <c r="EZ17" s="665">
        <v>182</v>
      </c>
      <c r="FA17" s="76"/>
      <c r="FB17" s="70" t="s">
        <v>32</v>
      </c>
      <c r="FC17" s="663">
        <v>105</v>
      </c>
      <c r="FD17" s="76"/>
      <c r="FE17" s="657" t="s">
        <v>27</v>
      </c>
      <c r="FF17" s="661">
        <v>192</v>
      </c>
      <c r="FG17" s="671"/>
      <c r="FH17" s="659" t="s">
        <v>285</v>
      </c>
      <c r="FI17" s="664">
        <v>94</v>
      </c>
      <c r="FJ17" s="76"/>
      <c r="FK17" s="659" t="s">
        <v>105</v>
      </c>
      <c r="FL17" s="669">
        <v>773</v>
      </c>
      <c r="FY17" s="840" t="s">
        <v>16</v>
      </c>
      <c r="FZ17" s="48">
        <v>180</v>
      </c>
      <c r="GB17" s="847" t="s">
        <v>124</v>
      </c>
      <c r="GC17" s="846">
        <v>103</v>
      </c>
      <c r="GE17" s="847" t="s">
        <v>28</v>
      </c>
      <c r="GF17" s="852">
        <v>181</v>
      </c>
      <c r="GG17" s="855"/>
      <c r="GH17" s="841" t="s">
        <v>292</v>
      </c>
      <c r="GI17" s="294">
        <v>97</v>
      </c>
      <c r="GJ17" s="855"/>
      <c r="GK17" s="840" t="s">
        <v>97</v>
      </c>
      <c r="GL17" s="92">
        <v>792</v>
      </c>
    </row>
    <row r="18" spans="1:194" ht="15.75">
      <c r="B18" s="869" t="s">
        <v>82</v>
      </c>
      <c r="C18" s="849">
        <v>217</v>
      </c>
      <c r="D18" s="105"/>
      <c r="E18" s="870" t="s">
        <v>263</v>
      </c>
      <c r="F18" s="852">
        <v>79</v>
      </c>
      <c r="G18" s="105"/>
      <c r="H18" s="870" t="s">
        <v>67</v>
      </c>
      <c r="I18" s="91">
        <v>894</v>
      </c>
      <c r="K18" s="106" t="s">
        <v>112</v>
      </c>
      <c r="L18" s="210" t="s">
        <v>7</v>
      </c>
      <c r="M18" s="301">
        <v>3847</v>
      </c>
      <c r="N18" s="107"/>
      <c r="O18" s="106" t="s">
        <v>112</v>
      </c>
      <c r="P18" s="182" t="s">
        <v>2</v>
      </c>
      <c r="Q18" s="212">
        <v>883</v>
      </c>
      <c r="Y18" s="186" t="s">
        <v>35</v>
      </c>
      <c r="Z18" s="122">
        <v>171</v>
      </c>
      <c r="AA18" s="76"/>
      <c r="AB18" s="186" t="s">
        <v>13</v>
      </c>
      <c r="AC18" s="195">
        <v>103</v>
      </c>
      <c r="AD18" s="76"/>
      <c r="AE18" s="186" t="s">
        <v>3</v>
      </c>
      <c r="AF18" s="122">
        <v>188</v>
      </c>
      <c r="AG18" s="76"/>
      <c r="AH18" s="187" t="s">
        <v>123</v>
      </c>
      <c r="AI18" s="126">
        <v>98</v>
      </c>
      <c r="AJ18" s="76"/>
      <c r="AK18" s="186" t="s">
        <v>27</v>
      </c>
      <c r="AL18" s="195">
        <v>744</v>
      </c>
      <c r="AY18" s="217" t="s">
        <v>5</v>
      </c>
      <c r="AZ18" s="196">
        <v>184</v>
      </c>
      <c r="BA18" s="76"/>
      <c r="BB18" s="217" t="s">
        <v>221</v>
      </c>
      <c r="BC18" s="196">
        <v>110</v>
      </c>
      <c r="BD18" s="76"/>
      <c r="BE18" s="135" t="s">
        <v>46</v>
      </c>
      <c r="BF18" s="223">
        <v>187</v>
      </c>
      <c r="BG18" s="76"/>
      <c r="BH18" s="222" t="s">
        <v>19</v>
      </c>
      <c r="BI18" s="223">
        <v>103</v>
      </c>
      <c r="BJ18" s="76"/>
      <c r="BK18" s="70" t="s">
        <v>226</v>
      </c>
      <c r="BL18" s="226">
        <v>768</v>
      </c>
      <c r="BY18" s="186" t="s">
        <v>3</v>
      </c>
      <c r="BZ18" s="195">
        <v>180</v>
      </c>
      <c r="CA18" s="76"/>
      <c r="CB18" s="134" t="s">
        <v>14</v>
      </c>
      <c r="CC18" s="198">
        <v>105</v>
      </c>
      <c r="CD18" s="76"/>
      <c r="CE18" s="186" t="s">
        <v>27</v>
      </c>
      <c r="CF18" s="122">
        <v>187</v>
      </c>
      <c r="CG18" s="76"/>
      <c r="CH18" s="134" t="s">
        <v>98</v>
      </c>
      <c r="CI18" s="124">
        <v>100</v>
      </c>
      <c r="CJ18" s="76"/>
      <c r="CK18" s="132" t="s">
        <v>67</v>
      </c>
      <c r="CL18" s="196">
        <v>768</v>
      </c>
      <c r="CY18" s="293" t="s">
        <v>26</v>
      </c>
      <c r="CZ18" s="303">
        <v>181</v>
      </c>
      <c r="DA18" s="76"/>
      <c r="DB18" s="293" t="s">
        <v>93</v>
      </c>
      <c r="DC18" s="308">
        <v>100</v>
      </c>
      <c r="DD18" s="76"/>
      <c r="DE18" s="299" t="s">
        <v>124</v>
      </c>
      <c r="DF18" s="300">
        <v>184</v>
      </c>
      <c r="DG18" s="76"/>
      <c r="DH18" s="299" t="s">
        <v>253</v>
      </c>
      <c r="DI18" s="300">
        <v>93</v>
      </c>
      <c r="DJ18" s="76"/>
      <c r="DK18" s="133" t="s">
        <v>18</v>
      </c>
      <c r="DL18" s="123">
        <v>753</v>
      </c>
      <c r="DY18" s="565" t="s">
        <v>34</v>
      </c>
      <c r="DZ18" s="547">
        <v>183</v>
      </c>
      <c r="EA18" s="76"/>
      <c r="EB18" s="569" t="s">
        <v>226</v>
      </c>
      <c r="EC18" s="71">
        <v>105</v>
      </c>
      <c r="ED18" s="76"/>
      <c r="EE18" s="565" t="s">
        <v>35</v>
      </c>
      <c r="EF18" s="547">
        <v>186</v>
      </c>
      <c r="EG18" s="76"/>
      <c r="EH18" s="568" t="s">
        <v>104</v>
      </c>
      <c r="EI18" s="545">
        <v>99</v>
      </c>
      <c r="EJ18" s="76"/>
      <c r="EK18" s="565" t="s">
        <v>3</v>
      </c>
      <c r="EL18" s="551">
        <v>766</v>
      </c>
      <c r="EY18" s="657" t="s">
        <v>3</v>
      </c>
      <c r="EZ18" s="661">
        <v>181</v>
      </c>
      <c r="FA18" s="76"/>
      <c r="FB18" s="658" t="s">
        <v>9</v>
      </c>
      <c r="FC18" s="662">
        <v>106</v>
      </c>
      <c r="FD18" s="76"/>
      <c r="FE18" s="70" t="s">
        <v>222</v>
      </c>
      <c r="FF18" s="663">
        <v>191</v>
      </c>
      <c r="FG18" s="671"/>
      <c r="FH18" s="659" t="s">
        <v>104</v>
      </c>
      <c r="FI18" s="664">
        <v>94</v>
      </c>
      <c r="FJ18" s="76"/>
      <c r="FK18" s="658" t="s">
        <v>5</v>
      </c>
      <c r="FL18" s="667">
        <v>762</v>
      </c>
      <c r="FY18" s="847" t="s">
        <v>254</v>
      </c>
      <c r="FZ18" s="846">
        <v>178</v>
      </c>
      <c r="GB18" s="840" t="s">
        <v>32</v>
      </c>
      <c r="GC18" s="48">
        <v>104</v>
      </c>
      <c r="GE18" s="844" t="s">
        <v>244</v>
      </c>
      <c r="GF18" s="846">
        <v>181</v>
      </c>
      <c r="GG18" s="855"/>
      <c r="GH18" s="847" t="s">
        <v>296</v>
      </c>
      <c r="GI18" s="852">
        <v>98</v>
      </c>
      <c r="GJ18" s="855"/>
      <c r="GK18" s="847" t="s">
        <v>68</v>
      </c>
      <c r="GL18" s="91">
        <v>790</v>
      </c>
    </row>
    <row r="19" spans="1:194" ht="15.75">
      <c r="B19" s="70" t="s">
        <v>2</v>
      </c>
      <c r="C19" s="126">
        <v>213</v>
      </c>
      <c r="D19" s="105"/>
      <c r="E19" s="604" t="s">
        <v>283</v>
      </c>
      <c r="F19" s="875">
        <v>79</v>
      </c>
      <c r="G19" s="105"/>
      <c r="H19" s="876" t="s">
        <v>244</v>
      </c>
      <c r="I19" s="94">
        <v>893</v>
      </c>
      <c r="K19" s="106" t="s">
        <v>113</v>
      </c>
      <c r="L19" s="200" t="s">
        <v>6</v>
      </c>
      <c r="M19" s="200">
        <v>3808</v>
      </c>
      <c r="N19" s="107"/>
      <c r="O19" s="106" t="s">
        <v>113</v>
      </c>
      <c r="P19" s="558" t="s">
        <v>96</v>
      </c>
      <c r="Q19" s="302">
        <v>883</v>
      </c>
      <c r="Y19" s="184" t="s">
        <v>5</v>
      </c>
      <c r="Z19" s="123">
        <v>171</v>
      </c>
      <c r="AA19" s="76"/>
      <c r="AB19" s="133" t="s">
        <v>37</v>
      </c>
      <c r="AC19" s="194">
        <v>103</v>
      </c>
      <c r="AD19" s="76"/>
      <c r="AE19" s="186" t="s">
        <v>34</v>
      </c>
      <c r="AF19" s="122">
        <v>188</v>
      </c>
      <c r="AG19" s="76"/>
      <c r="AH19" s="185" t="s">
        <v>65</v>
      </c>
      <c r="AI19" s="124">
        <v>99</v>
      </c>
      <c r="AJ19" s="76"/>
      <c r="AK19" s="189" t="s">
        <v>97</v>
      </c>
      <c r="AL19" s="197">
        <v>744</v>
      </c>
      <c r="AY19" s="217" t="s">
        <v>82</v>
      </c>
      <c r="AZ19" s="196">
        <v>183</v>
      </c>
      <c r="BA19" s="76"/>
      <c r="BB19" s="137" t="s">
        <v>106</v>
      </c>
      <c r="BC19" s="196">
        <v>110</v>
      </c>
      <c r="BD19" s="76"/>
      <c r="BE19" s="134" t="s">
        <v>106</v>
      </c>
      <c r="BF19" s="232">
        <v>186</v>
      </c>
      <c r="BG19" s="76"/>
      <c r="BH19" s="233" t="s">
        <v>28</v>
      </c>
      <c r="BI19" s="228">
        <v>105</v>
      </c>
      <c r="BJ19" s="76"/>
      <c r="BK19" s="133" t="s">
        <v>37</v>
      </c>
      <c r="BL19" s="229">
        <v>766</v>
      </c>
      <c r="BY19" s="186" t="s">
        <v>61</v>
      </c>
      <c r="BZ19" s="195">
        <v>180</v>
      </c>
      <c r="CA19" s="76"/>
      <c r="CB19" s="134" t="s">
        <v>104</v>
      </c>
      <c r="CC19" s="198">
        <v>105</v>
      </c>
      <c r="CD19" s="76"/>
      <c r="CE19" s="135" t="s">
        <v>46</v>
      </c>
      <c r="CF19" s="122">
        <v>187</v>
      </c>
      <c r="CG19" s="76"/>
      <c r="CH19" s="132" t="s">
        <v>79</v>
      </c>
      <c r="CI19" s="125">
        <v>100</v>
      </c>
      <c r="CJ19" s="76"/>
      <c r="CK19" s="70" t="s">
        <v>220</v>
      </c>
      <c r="CL19" s="92">
        <v>767</v>
      </c>
      <c r="CY19" s="297" t="s">
        <v>226</v>
      </c>
      <c r="CZ19" s="197">
        <v>179</v>
      </c>
      <c r="DA19" s="76"/>
      <c r="DB19" s="295" t="s">
        <v>19</v>
      </c>
      <c r="DC19" s="307">
        <v>100</v>
      </c>
      <c r="DD19" s="76"/>
      <c r="DE19" s="295" t="s">
        <v>19</v>
      </c>
      <c r="DF19" s="296">
        <v>182</v>
      </c>
      <c r="DG19" s="76"/>
      <c r="DH19" s="299" t="s">
        <v>254</v>
      </c>
      <c r="DI19" s="300">
        <v>94</v>
      </c>
      <c r="DJ19" s="76"/>
      <c r="DK19" s="295" t="s">
        <v>35</v>
      </c>
      <c r="DL19" s="296">
        <v>738</v>
      </c>
      <c r="DY19" s="565" t="s">
        <v>3</v>
      </c>
      <c r="DZ19" s="547">
        <v>183</v>
      </c>
      <c r="EA19" s="76"/>
      <c r="EB19" s="569" t="s">
        <v>224</v>
      </c>
      <c r="EC19" s="71">
        <v>105</v>
      </c>
      <c r="ED19" s="76"/>
      <c r="EE19" s="563" t="s">
        <v>290</v>
      </c>
      <c r="EF19" s="544">
        <v>185</v>
      </c>
      <c r="EG19" s="76"/>
      <c r="EH19" s="565" t="s">
        <v>283</v>
      </c>
      <c r="EI19" s="547">
        <v>100</v>
      </c>
      <c r="EJ19" s="76"/>
      <c r="EK19" s="567" t="s">
        <v>28</v>
      </c>
      <c r="EL19" s="550">
        <v>757</v>
      </c>
      <c r="EY19" s="658" t="s">
        <v>70</v>
      </c>
      <c r="EZ19" s="662">
        <v>181</v>
      </c>
      <c r="FA19" s="76"/>
      <c r="FB19" s="658" t="s">
        <v>99</v>
      </c>
      <c r="FC19" s="662">
        <v>107</v>
      </c>
      <c r="FD19" s="76"/>
      <c r="FE19" s="657" t="s">
        <v>35</v>
      </c>
      <c r="FF19" s="661">
        <v>188</v>
      </c>
      <c r="FG19" s="671"/>
      <c r="FH19" s="659" t="s">
        <v>285</v>
      </c>
      <c r="FI19" s="664">
        <v>94</v>
      </c>
      <c r="FJ19" s="76"/>
      <c r="FK19" s="659" t="s">
        <v>44</v>
      </c>
      <c r="FL19" s="669">
        <v>755</v>
      </c>
      <c r="FY19" s="847" t="s">
        <v>31</v>
      </c>
      <c r="FZ19" s="846">
        <v>176</v>
      </c>
      <c r="GB19" s="848" t="s">
        <v>70</v>
      </c>
      <c r="GC19" s="849">
        <v>105</v>
      </c>
      <c r="GE19" s="847" t="s">
        <v>68</v>
      </c>
      <c r="GF19" s="852">
        <v>181</v>
      </c>
      <c r="GG19" s="855"/>
      <c r="GH19" s="844" t="s">
        <v>8</v>
      </c>
      <c r="GI19" s="846">
        <v>99</v>
      </c>
      <c r="GJ19" s="855"/>
      <c r="GK19" s="841" t="s">
        <v>298</v>
      </c>
      <c r="GL19" s="93">
        <v>766</v>
      </c>
    </row>
    <row r="20" spans="1:194" ht="15.75">
      <c r="B20" s="297" t="s">
        <v>220</v>
      </c>
      <c r="C20" s="126">
        <v>212</v>
      </c>
      <c r="D20" s="105"/>
      <c r="E20" s="864" t="s">
        <v>291</v>
      </c>
      <c r="F20" s="849">
        <v>80</v>
      </c>
      <c r="G20" s="105"/>
      <c r="H20" s="865" t="s">
        <v>1</v>
      </c>
      <c r="I20" s="872">
        <v>891</v>
      </c>
      <c r="K20" s="938" t="s">
        <v>274</v>
      </c>
      <c r="L20" s="938"/>
      <c r="M20" s="938"/>
      <c r="N20" s="938"/>
      <c r="O20" s="938"/>
      <c r="P20" s="938"/>
      <c r="Q20" s="111" t="s">
        <v>122</v>
      </c>
      <c r="Y20" s="132" t="s">
        <v>95</v>
      </c>
      <c r="Z20" s="125">
        <v>171</v>
      </c>
      <c r="AA20" s="76"/>
      <c r="AB20" s="185" t="s">
        <v>106</v>
      </c>
      <c r="AC20" s="198">
        <v>103</v>
      </c>
      <c r="AD20" s="76"/>
      <c r="AE20" s="184" t="s">
        <v>10</v>
      </c>
      <c r="AF20" s="123">
        <v>188</v>
      </c>
      <c r="AG20" s="76"/>
      <c r="AH20" s="185" t="s">
        <v>127</v>
      </c>
      <c r="AI20" s="124">
        <v>100</v>
      </c>
      <c r="AJ20" s="76"/>
      <c r="AK20" s="184" t="s">
        <v>36</v>
      </c>
      <c r="AL20" s="194">
        <v>737</v>
      </c>
      <c r="AY20" s="137" t="s">
        <v>60</v>
      </c>
      <c r="AZ20" s="196">
        <v>182</v>
      </c>
      <c r="BA20" s="76"/>
      <c r="BB20" s="72" t="s">
        <v>32</v>
      </c>
      <c r="BC20" s="196">
        <v>111</v>
      </c>
      <c r="BD20" s="76"/>
      <c r="BE20" s="70" t="s">
        <v>224</v>
      </c>
      <c r="BF20" s="221">
        <v>185</v>
      </c>
      <c r="BG20" s="76"/>
      <c r="BH20" s="222" t="s">
        <v>13</v>
      </c>
      <c r="BI20" s="223">
        <v>107</v>
      </c>
      <c r="BJ20" s="76"/>
      <c r="BK20" s="132" t="s">
        <v>80</v>
      </c>
      <c r="BL20" s="231">
        <v>751</v>
      </c>
      <c r="BY20" s="132" t="s">
        <v>68</v>
      </c>
      <c r="BZ20" s="196">
        <v>179</v>
      </c>
      <c r="CA20" s="76"/>
      <c r="CB20" s="70" t="s">
        <v>15</v>
      </c>
      <c r="CC20" s="92">
        <v>106</v>
      </c>
      <c r="CD20" s="76"/>
      <c r="CE20" s="133" t="s">
        <v>9</v>
      </c>
      <c r="CF20" s="123">
        <v>186</v>
      </c>
      <c r="CG20" s="76"/>
      <c r="CH20" s="133" t="s">
        <v>99</v>
      </c>
      <c r="CI20" s="123">
        <v>101</v>
      </c>
      <c r="CJ20" s="76"/>
      <c r="CK20" s="134" t="s">
        <v>96</v>
      </c>
      <c r="CL20" s="198">
        <v>760</v>
      </c>
      <c r="CY20" s="133" t="s">
        <v>36</v>
      </c>
      <c r="CZ20" s="194">
        <v>179</v>
      </c>
      <c r="DA20" s="76"/>
      <c r="DB20" s="297" t="s">
        <v>224</v>
      </c>
      <c r="DC20" s="71">
        <v>102</v>
      </c>
      <c r="DD20" s="76"/>
      <c r="DE20" s="293" t="s">
        <v>26</v>
      </c>
      <c r="DF20" s="294">
        <v>181</v>
      </c>
      <c r="DG20" s="76"/>
      <c r="DH20" s="297" t="s">
        <v>69</v>
      </c>
      <c r="DI20" s="126">
        <v>96</v>
      </c>
      <c r="DJ20" s="76"/>
      <c r="DK20" s="293" t="s">
        <v>44</v>
      </c>
      <c r="DL20" s="294">
        <v>725</v>
      </c>
      <c r="DY20" s="568" t="s">
        <v>127</v>
      </c>
      <c r="DZ20" s="545">
        <v>182</v>
      </c>
      <c r="EA20" s="76"/>
      <c r="EB20" s="565" t="s">
        <v>19</v>
      </c>
      <c r="EC20" s="547">
        <v>106</v>
      </c>
      <c r="ED20" s="76"/>
      <c r="EE20" s="568" t="s">
        <v>100</v>
      </c>
      <c r="EF20" s="545">
        <v>185</v>
      </c>
      <c r="EG20" s="76"/>
      <c r="EH20" s="568" t="s">
        <v>104</v>
      </c>
      <c r="EI20" s="545">
        <v>102</v>
      </c>
      <c r="EJ20" s="76"/>
      <c r="EK20" s="567" t="s">
        <v>68</v>
      </c>
      <c r="EL20" s="550">
        <v>751</v>
      </c>
      <c r="EY20" s="658" t="s">
        <v>36</v>
      </c>
      <c r="EZ20" s="662">
        <v>178</v>
      </c>
      <c r="FA20" s="76"/>
      <c r="FB20" s="658" t="s">
        <v>290</v>
      </c>
      <c r="FC20" s="662">
        <v>108</v>
      </c>
      <c r="FD20" s="76"/>
      <c r="FE20" s="660" t="s">
        <v>66</v>
      </c>
      <c r="FF20" s="665">
        <v>188</v>
      </c>
      <c r="FG20" s="671"/>
      <c r="FH20" s="657" t="s">
        <v>77</v>
      </c>
      <c r="FI20" s="661">
        <v>100</v>
      </c>
      <c r="FJ20" s="76"/>
      <c r="FK20" s="70" t="s">
        <v>220</v>
      </c>
      <c r="FL20" s="668">
        <v>730</v>
      </c>
      <c r="FY20" s="840" t="s">
        <v>226</v>
      </c>
      <c r="FZ20" s="48">
        <v>173</v>
      </c>
      <c r="GB20" s="841" t="s">
        <v>285</v>
      </c>
      <c r="GC20" s="850">
        <v>106</v>
      </c>
      <c r="GE20" s="841" t="s">
        <v>96</v>
      </c>
      <c r="GF20" s="294">
        <v>180</v>
      </c>
      <c r="GG20" s="855"/>
      <c r="GH20" s="848" t="s">
        <v>99</v>
      </c>
      <c r="GI20" s="851">
        <v>99</v>
      </c>
      <c r="GJ20" s="855"/>
      <c r="GK20" s="847" t="s">
        <v>67</v>
      </c>
      <c r="GL20" s="91">
        <v>761</v>
      </c>
    </row>
    <row r="21" spans="1:194" ht="15.75">
      <c r="B21" s="297" t="s">
        <v>2</v>
      </c>
      <c r="C21" s="126">
        <v>212</v>
      </c>
      <c r="D21" s="105"/>
      <c r="E21" s="877" t="s">
        <v>217</v>
      </c>
      <c r="F21" s="878">
        <v>81</v>
      </c>
      <c r="G21" s="105"/>
      <c r="H21" s="866" t="s">
        <v>27</v>
      </c>
      <c r="I21" s="94">
        <v>889</v>
      </c>
      <c r="K21" s="106" t="s">
        <v>111</v>
      </c>
      <c r="L21" s="574" t="s">
        <v>7</v>
      </c>
      <c r="M21" s="574">
        <v>4180</v>
      </c>
      <c r="N21" s="107"/>
      <c r="O21" s="106" t="s">
        <v>111</v>
      </c>
      <c r="P21" s="559" t="s">
        <v>96</v>
      </c>
      <c r="Q21" s="575">
        <v>959</v>
      </c>
      <c r="Y21" s="184" t="s">
        <v>36</v>
      </c>
      <c r="Z21" s="123">
        <v>170</v>
      </c>
      <c r="AA21" s="76"/>
      <c r="AB21" s="132" t="s">
        <v>218</v>
      </c>
      <c r="AC21" s="196">
        <v>103</v>
      </c>
      <c r="AD21" s="76"/>
      <c r="AE21" s="189" t="s">
        <v>59</v>
      </c>
      <c r="AF21" s="126">
        <v>187</v>
      </c>
      <c r="AG21" s="76"/>
      <c r="AH21" s="187" t="s">
        <v>101</v>
      </c>
      <c r="AI21" s="126">
        <v>100</v>
      </c>
      <c r="AJ21" s="76"/>
      <c r="AK21" s="187" t="s">
        <v>16</v>
      </c>
      <c r="AL21" s="197">
        <v>727</v>
      </c>
      <c r="AY21" s="216" t="s">
        <v>66</v>
      </c>
      <c r="AZ21" s="196">
        <v>180</v>
      </c>
      <c r="BA21" s="76"/>
      <c r="BB21" s="137" t="s">
        <v>104</v>
      </c>
      <c r="BC21" s="196">
        <v>111</v>
      </c>
      <c r="BD21" s="76"/>
      <c r="BE21" s="135" t="s">
        <v>223</v>
      </c>
      <c r="BF21" s="223">
        <v>185</v>
      </c>
      <c r="BG21" s="76"/>
      <c r="BH21" s="234" t="s">
        <v>18</v>
      </c>
      <c r="BI21" s="230">
        <v>107</v>
      </c>
      <c r="BJ21" s="76"/>
      <c r="BK21" s="134" t="s">
        <v>106</v>
      </c>
      <c r="BL21" s="227">
        <v>738</v>
      </c>
      <c r="BY21" s="133" t="s">
        <v>10</v>
      </c>
      <c r="BZ21" s="194">
        <v>179</v>
      </c>
      <c r="CA21" s="76"/>
      <c r="CB21" s="133" t="s">
        <v>70</v>
      </c>
      <c r="CC21" s="194">
        <v>107</v>
      </c>
      <c r="CD21" s="76"/>
      <c r="CE21" s="188" t="s">
        <v>66</v>
      </c>
      <c r="CF21" s="125">
        <v>185</v>
      </c>
      <c r="CG21" s="76"/>
      <c r="CH21" s="188" t="s">
        <v>217</v>
      </c>
      <c r="CI21" s="125">
        <v>103</v>
      </c>
      <c r="CJ21" s="76"/>
      <c r="CK21" s="135" t="s">
        <v>34</v>
      </c>
      <c r="CL21" s="195">
        <v>742</v>
      </c>
      <c r="CY21" s="293" t="s">
        <v>98</v>
      </c>
      <c r="CZ21" s="303">
        <v>178</v>
      </c>
      <c r="DA21" s="76"/>
      <c r="DB21" s="293" t="s">
        <v>104</v>
      </c>
      <c r="DC21" s="308">
        <v>103</v>
      </c>
      <c r="DD21" s="76"/>
      <c r="DE21" s="299" t="s">
        <v>67</v>
      </c>
      <c r="DF21" s="300">
        <v>181</v>
      </c>
      <c r="DG21" s="76"/>
      <c r="DH21" s="299" t="s">
        <v>29</v>
      </c>
      <c r="DI21" s="300">
        <v>97</v>
      </c>
      <c r="DJ21" s="76"/>
      <c r="DK21" s="133" t="s">
        <v>36</v>
      </c>
      <c r="DL21" s="123">
        <v>725</v>
      </c>
      <c r="DY21" s="568" t="s">
        <v>106</v>
      </c>
      <c r="DZ21" s="545">
        <v>181</v>
      </c>
      <c r="EA21" s="76"/>
      <c r="EB21" s="568" t="s">
        <v>93</v>
      </c>
      <c r="EC21" s="545">
        <v>107</v>
      </c>
      <c r="ED21" s="76"/>
      <c r="EE21" s="565" t="s">
        <v>34</v>
      </c>
      <c r="EF21" s="547">
        <v>183</v>
      </c>
      <c r="EG21" s="76"/>
      <c r="EH21" s="565" t="s">
        <v>225</v>
      </c>
      <c r="EI21" s="547">
        <v>102</v>
      </c>
      <c r="EJ21" s="76"/>
      <c r="EK21" s="563" t="s">
        <v>288</v>
      </c>
      <c r="EL21" s="548">
        <v>725</v>
      </c>
      <c r="EY21" s="659" t="s">
        <v>14</v>
      </c>
      <c r="EZ21" s="664">
        <v>177</v>
      </c>
      <c r="FA21" s="76"/>
      <c r="FB21" s="657" t="s">
        <v>46</v>
      </c>
      <c r="FC21" s="661">
        <v>110</v>
      </c>
      <c r="FD21" s="76"/>
      <c r="FE21" s="658" t="s">
        <v>82</v>
      </c>
      <c r="FF21" s="662">
        <v>187</v>
      </c>
      <c r="FG21" s="671"/>
      <c r="FH21" s="659" t="s">
        <v>14</v>
      </c>
      <c r="FI21" s="664">
        <v>101</v>
      </c>
      <c r="FJ21" s="76"/>
      <c r="FK21" s="657" t="s">
        <v>34</v>
      </c>
      <c r="FL21" s="666">
        <v>728</v>
      </c>
      <c r="FY21" s="841" t="s">
        <v>60</v>
      </c>
      <c r="FZ21" s="850">
        <v>173</v>
      </c>
      <c r="GB21" s="844" t="s">
        <v>19</v>
      </c>
      <c r="GC21" s="846">
        <v>107</v>
      </c>
      <c r="GE21" s="840" t="s">
        <v>16</v>
      </c>
      <c r="GF21" s="126">
        <v>180</v>
      </c>
      <c r="GG21" s="855"/>
      <c r="GH21" s="848" t="s">
        <v>290</v>
      </c>
      <c r="GI21" s="851">
        <v>100</v>
      </c>
      <c r="GJ21" s="855"/>
      <c r="GK21" s="841" t="s">
        <v>100</v>
      </c>
      <c r="GL21" s="93">
        <v>757</v>
      </c>
    </row>
    <row r="22" spans="1:194" ht="15.75">
      <c r="B22" s="70" t="s">
        <v>222</v>
      </c>
      <c r="C22" s="126">
        <v>212</v>
      </c>
      <c r="D22" s="105"/>
      <c r="E22" s="879" t="s">
        <v>286</v>
      </c>
      <c r="F22" s="880">
        <v>81</v>
      </c>
      <c r="G22" s="105"/>
      <c r="H22" s="874" t="s">
        <v>66</v>
      </c>
      <c r="I22" s="91">
        <v>888</v>
      </c>
      <c r="K22" s="106" t="s">
        <v>112</v>
      </c>
      <c r="L22" s="577" t="s">
        <v>4</v>
      </c>
      <c r="M22" s="577">
        <v>3798</v>
      </c>
      <c r="N22" s="107"/>
      <c r="O22" s="106" t="s">
        <v>112</v>
      </c>
      <c r="P22" s="560" t="s">
        <v>60</v>
      </c>
      <c r="Q22" s="575">
        <v>912</v>
      </c>
      <c r="Y22" s="185" t="s">
        <v>127</v>
      </c>
      <c r="Z22" s="124">
        <v>170</v>
      </c>
      <c r="AA22" s="76"/>
      <c r="AB22" s="187" t="s">
        <v>32</v>
      </c>
      <c r="AC22" s="92">
        <v>107</v>
      </c>
      <c r="AD22" s="76"/>
      <c r="AE22" s="186" t="s">
        <v>27</v>
      </c>
      <c r="AF22" s="122">
        <v>185</v>
      </c>
      <c r="AG22" s="76"/>
      <c r="AH22" s="188" t="s">
        <v>29</v>
      </c>
      <c r="AI22" s="125">
        <v>101</v>
      </c>
      <c r="AJ22" s="76"/>
      <c r="AK22" s="186" t="s">
        <v>78</v>
      </c>
      <c r="AL22" s="195">
        <v>720</v>
      </c>
      <c r="AY22" s="217" t="s">
        <v>9</v>
      </c>
      <c r="AZ22" s="196">
        <v>178</v>
      </c>
      <c r="BA22" s="76"/>
      <c r="BB22" s="136" t="s">
        <v>225</v>
      </c>
      <c r="BC22" s="196">
        <v>112</v>
      </c>
      <c r="BD22" s="76"/>
      <c r="BE22" s="133" t="s">
        <v>10</v>
      </c>
      <c r="BF22" s="230">
        <v>184</v>
      </c>
      <c r="BG22" s="76"/>
      <c r="BH22" s="235" t="s">
        <v>14</v>
      </c>
      <c r="BI22" s="232">
        <v>107</v>
      </c>
      <c r="BJ22" s="76"/>
      <c r="BK22" s="133" t="s">
        <v>10</v>
      </c>
      <c r="BL22" s="229">
        <v>728</v>
      </c>
      <c r="BY22" s="70" t="s">
        <v>59</v>
      </c>
      <c r="BZ22" s="92">
        <v>178</v>
      </c>
      <c r="CA22" s="76"/>
      <c r="CB22" s="70" t="s">
        <v>21</v>
      </c>
      <c r="CC22" s="92">
        <v>107</v>
      </c>
      <c r="CD22" s="76"/>
      <c r="CE22" s="134" t="s">
        <v>100</v>
      </c>
      <c r="CF22" s="124">
        <v>184</v>
      </c>
      <c r="CG22" s="76"/>
      <c r="CH22" s="134" t="s">
        <v>127</v>
      </c>
      <c r="CI22" s="124">
        <v>103</v>
      </c>
      <c r="CJ22" s="76"/>
      <c r="CK22" s="133" t="s">
        <v>70</v>
      </c>
      <c r="CL22" s="194">
        <v>742</v>
      </c>
      <c r="CY22" s="293" t="s">
        <v>44</v>
      </c>
      <c r="CZ22" s="303">
        <v>173</v>
      </c>
      <c r="DA22" s="76"/>
      <c r="DB22" s="297" t="s">
        <v>226</v>
      </c>
      <c r="DC22" s="71">
        <v>105</v>
      </c>
      <c r="DD22" s="76"/>
      <c r="DE22" s="295" t="s">
        <v>46</v>
      </c>
      <c r="DF22" s="296">
        <v>181</v>
      </c>
      <c r="DG22" s="76"/>
      <c r="DH22" s="299" t="s">
        <v>254</v>
      </c>
      <c r="DI22" s="300">
        <v>97</v>
      </c>
      <c r="DJ22" s="76"/>
      <c r="DK22" s="293" t="s">
        <v>98</v>
      </c>
      <c r="DL22" s="294">
        <v>724</v>
      </c>
      <c r="DY22" s="569" t="s">
        <v>97</v>
      </c>
      <c r="DZ22" s="71">
        <v>178</v>
      </c>
      <c r="EA22" s="76"/>
      <c r="EB22" s="565" t="s">
        <v>35</v>
      </c>
      <c r="EC22" s="547">
        <v>107</v>
      </c>
      <c r="ED22" s="76"/>
      <c r="EE22" s="567" t="s">
        <v>124</v>
      </c>
      <c r="EF22" s="546">
        <v>183</v>
      </c>
      <c r="EG22" s="76"/>
      <c r="EH22" s="565" t="s">
        <v>125</v>
      </c>
      <c r="EI22" s="547">
        <v>103</v>
      </c>
      <c r="EJ22" s="76"/>
      <c r="EK22" s="568" t="s">
        <v>105</v>
      </c>
      <c r="EL22" s="549">
        <v>723</v>
      </c>
      <c r="EY22" s="660" t="s">
        <v>28</v>
      </c>
      <c r="EZ22" s="665">
        <v>177</v>
      </c>
      <c r="FA22" s="76"/>
      <c r="FB22" s="657" t="s">
        <v>19</v>
      </c>
      <c r="FC22" s="661">
        <v>111</v>
      </c>
      <c r="FD22" s="76"/>
      <c r="FE22" s="70" t="s">
        <v>2</v>
      </c>
      <c r="FF22" s="663">
        <v>186</v>
      </c>
      <c r="FG22" s="671"/>
      <c r="FH22" s="70" t="s">
        <v>226</v>
      </c>
      <c r="FI22" s="663">
        <v>102</v>
      </c>
      <c r="FJ22" s="76"/>
      <c r="FK22" s="658" t="s">
        <v>70</v>
      </c>
      <c r="FL22" s="667">
        <v>723</v>
      </c>
      <c r="FY22" s="848" t="s">
        <v>81</v>
      </c>
      <c r="FZ22" s="849">
        <v>172</v>
      </c>
      <c r="GB22" s="847" t="s">
        <v>31</v>
      </c>
      <c r="GC22" s="846">
        <v>108</v>
      </c>
      <c r="GE22" s="841" t="s">
        <v>96</v>
      </c>
      <c r="GF22" s="294">
        <v>179</v>
      </c>
      <c r="GG22" s="855"/>
      <c r="GH22" s="848" t="s">
        <v>99</v>
      </c>
      <c r="GI22" s="851">
        <v>100</v>
      </c>
      <c r="GJ22" s="855"/>
      <c r="GK22" s="844" t="s">
        <v>225</v>
      </c>
      <c r="GL22" s="94">
        <v>755</v>
      </c>
    </row>
    <row r="23" spans="1:194" ht="15.75">
      <c r="B23" s="870" t="s">
        <v>68</v>
      </c>
      <c r="C23" s="852">
        <v>212</v>
      </c>
      <c r="D23" s="105"/>
      <c r="E23" s="297" t="s">
        <v>69</v>
      </c>
      <c r="F23" s="126">
        <v>82</v>
      </c>
      <c r="G23" s="105"/>
      <c r="H23" s="297" t="s">
        <v>2</v>
      </c>
      <c r="I23" s="126">
        <v>883</v>
      </c>
      <c r="K23" s="106" t="s">
        <v>113</v>
      </c>
      <c r="L23" s="201" t="s">
        <v>17</v>
      </c>
      <c r="M23" s="201">
        <v>3713</v>
      </c>
      <c r="N23" s="107"/>
      <c r="O23" s="106" t="s">
        <v>113</v>
      </c>
      <c r="P23" s="561" t="s">
        <v>252</v>
      </c>
      <c r="Q23" s="576">
        <v>858</v>
      </c>
      <c r="Y23" s="133" t="s">
        <v>37</v>
      </c>
      <c r="Z23" s="123">
        <v>169</v>
      </c>
      <c r="AA23" s="77"/>
      <c r="AB23" s="188" t="s">
        <v>30</v>
      </c>
      <c r="AC23" s="196">
        <v>107</v>
      </c>
      <c r="AD23" s="77"/>
      <c r="AE23" s="184" t="s">
        <v>9</v>
      </c>
      <c r="AF23" s="123">
        <v>184</v>
      </c>
      <c r="AG23" s="77"/>
      <c r="AH23" s="70" t="s">
        <v>118</v>
      </c>
      <c r="AI23" s="126">
        <v>101</v>
      </c>
      <c r="AJ23" s="77"/>
      <c r="AK23" s="184" t="s">
        <v>81</v>
      </c>
      <c r="AL23" s="194">
        <v>718</v>
      </c>
      <c r="AY23" s="136" t="s">
        <v>225</v>
      </c>
      <c r="AZ23" s="196">
        <v>177</v>
      </c>
      <c r="BA23" s="77"/>
      <c r="BB23" s="216" t="s">
        <v>30</v>
      </c>
      <c r="BC23" s="196">
        <v>114</v>
      </c>
      <c r="BD23" s="77"/>
      <c r="BE23" s="133" t="s">
        <v>5</v>
      </c>
      <c r="BF23" s="230">
        <v>184</v>
      </c>
      <c r="BG23" s="77"/>
      <c r="BH23" s="225" t="s">
        <v>91</v>
      </c>
      <c r="BI23" s="221">
        <v>107</v>
      </c>
      <c r="BJ23" s="77"/>
      <c r="BK23" s="70" t="s">
        <v>16</v>
      </c>
      <c r="BL23" s="226">
        <v>719</v>
      </c>
      <c r="BY23" s="134" t="s">
        <v>105</v>
      </c>
      <c r="BZ23" s="198">
        <v>177</v>
      </c>
      <c r="CA23" s="77"/>
      <c r="CB23" s="134" t="s">
        <v>26</v>
      </c>
      <c r="CC23" s="198">
        <v>111</v>
      </c>
      <c r="CD23" s="77"/>
      <c r="CE23" s="132" t="s">
        <v>67</v>
      </c>
      <c r="CF23" s="125">
        <v>183</v>
      </c>
      <c r="CG23" s="77"/>
      <c r="CH23" s="135" t="s">
        <v>46</v>
      </c>
      <c r="CI23" s="122">
        <v>103</v>
      </c>
      <c r="CJ23" s="77"/>
      <c r="CK23" s="133" t="s">
        <v>10</v>
      </c>
      <c r="CL23" s="194">
        <v>733</v>
      </c>
      <c r="CY23" s="295" t="s">
        <v>77</v>
      </c>
      <c r="CZ23" s="304">
        <v>173</v>
      </c>
      <c r="DA23" s="77"/>
      <c r="DB23" s="133" t="s">
        <v>36</v>
      </c>
      <c r="DC23" s="120">
        <v>105</v>
      </c>
      <c r="DD23" s="77"/>
      <c r="DE23" s="293" t="s">
        <v>96</v>
      </c>
      <c r="DF23" s="294">
        <v>180</v>
      </c>
      <c r="DG23" s="77"/>
      <c r="DH23" s="297" t="s">
        <v>91</v>
      </c>
      <c r="DI23" s="126">
        <v>98</v>
      </c>
      <c r="DJ23" s="77"/>
      <c r="DK23" s="133" t="s">
        <v>10</v>
      </c>
      <c r="DL23" s="123">
        <v>723</v>
      </c>
      <c r="DY23" s="567" t="s">
        <v>68</v>
      </c>
      <c r="DZ23" s="546">
        <v>178</v>
      </c>
      <c r="EA23" s="77"/>
      <c r="EB23" s="568" t="s">
        <v>14</v>
      </c>
      <c r="EC23" s="545">
        <v>108</v>
      </c>
      <c r="ED23" s="77"/>
      <c r="EE23" s="565" t="s">
        <v>3</v>
      </c>
      <c r="EF23" s="547">
        <v>183</v>
      </c>
      <c r="EG23" s="77"/>
      <c r="EH23" s="569" t="s">
        <v>224</v>
      </c>
      <c r="EI23" s="71">
        <v>105</v>
      </c>
      <c r="EJ23" s="77"/>
      <c r="EK23" s="565" t="s">
        <v>46</v>
      </c>
      <c r="EL23" s="551">
        <v>722</v>
      </c>
      <c r="EY23" s="658" t="s">
        <v>290</v>
      </c>
      <c r="EZ23" s="662">
        <v>170</v>
      </c>
      <c r="FA23" s="77"/>
      <c r="FB23" s="658" t="s">
        <v>36</v>
      </c>
      <c r="FC23" s="662">
        <v>111</v>
      </c>
      <c r="FD23" s="77"/>
      <c r="FE23" s="70" t="s">
        <v>2</v>
      </c>
      <c r="FF23" s="663">
        <v>186</v>
      </c>
      <c r="FG23" s="672"/>
      <c r="FH23" s="660" t="s">
        <v>29</v>
      </c>
      <c r="FI23" s="665">
        <v>102</v>
      </c>
      <c r="FJ23" s="77"/>
      <c r="FK23" s="660" t="s">
        <v>124</v>
      </c>
      <c r="FL23" s="670">
        <v>716</v>
      </c>
      <c r="FY23" s="840" t="s">
        <v>220</v>
      </c>
      <c r="FZ23" s="48">
        <v>172</v>
      </c>
      <c r="GA23" s="854"/>
      <c r="GB23" s="841" t="s">
        <v>127</v>
      </c>
      <c r="GC23" s="850">
        <v>109</v>
      </c>
      <c r="GD23" s="854"/>
      <c r="GE23" s="840" t="s">
        <v>2</v>
      </c>
      <c r="GF23" s="126">
        <v>179</v>
      </c>
      <c r="GG23" s="856"/>
      <c r="GH23" s="848" t="s">
        <v>81</v>
      </c>
      <c r="GI23" s="851">
        <v>101</v>
      </c>
      <c r="GJ23" s="856"/>
      <c r="GK23" s="847" t="s">
        <v>28</v>
      </c>
      <c r="GL23" s="91">
        <v>742</v>
      </c>
    </row>
    <row r="24" spans="1:194" ht="15.75">
      <c r="B24" s="863" t="s">
        <v>27</v>
      </c>
      <c r="C24" s="846">
        <v>211</v>
      </c>
      <c r="D24" s="105"/>
      <c r="E24" s="297" t="s">
        <v>91</v>
      </c>
      <c r="F24" s="126">
        <v>82</v>
      </c>
      <c r="G24" s="105"/>
      <c r="H24" s="293" t="s">
        <v>96</v>
      </c>
      <c r="I24" s="294">
        <v>883</v>
      </c>
      <c r="K24" s="937" t="s">
        <v>275</v>
      </c>
      <c r="L24" s="937"/>
      <c r="M24" s="937"/>
      <c r="N24" s="937"/>
      <c r="O24" s="937"/>
      <c r="P24" s="937"/>
      <c r="Q24" s="111" t="s">
        <v>122</v>
      </c>
      <c r="Y24" s="185" t="s">
        <v>60</v>
      </c>
      <c r="Z24" s="124">
        <v>168</v>
      </c>
      <c r="AA24" s="76"/>
      <c r="AB24" s="132" t="s">
        <v>95</v>
      </c>
      <c r="AC24" s="196">
        <v>109</v>
      </c>
      <c r="AD24" s="76"/>
      <c r="AE24" s="184" t="s">
        <v>9</v>
      </c>
      <c r="AF24" s="123">
        <v>184</v>
      </c>
      <c r="AG24" s="76"/>
      <c r="AH24" s="133" t="s">
        <v>18</v>
      </c>
      <c r="AI24" s="123">
        <v>102</v>
      </c>
      <c r="AJ24" s="76"/>
      <c r="AK24" s="132" t="s">
        <v>95</v>
      </c>
      <c r="AL24" s="196">
        <v>707</v>
      </c>
      <c r="AY24" s="216" t="s">
        <v>28</v>
      </c>
      <c r="AZ24" s="196">
        <v>175</v>
      </c>
      <c r="BA24" s="76"/>
      <c r="BB24" s="136" t="s">
        <v>61</v>
      </c>
      <c r="BC24" s="196">
        <v>114</v>
      </c>
      <c r="BD24" s="76"/>
      <c r="BE24" s="134" t="s">
        <v>1</v>
      </c>
      <c r="BF24" s="232">
        <v>183</v>
      </c>
      <c r="BG24" s="76"/>
      <c r="BH24" s="233" t="s">
        <v>29</v>
      </c>
      <c r="BI24" s="228">
        <v>109</v>
      </c>
      <c r="BJ24" s="76"/>
      <c r="BK24" s="134" t="s">
        <v>105</v>
      </c>
      <c r="BL24" s="227">
        <v>710</v>
      </c>
      <c r="BY24" s="134" t="s">
        <v>96</v>
      </c>
      <c r="BZ24" s="198">
        <v>174</v>
      </c>
      <c r="CA24" s="76"/>
      <c r="CB24" s="133" t="s">
        <v>242</v>
      </c>
      <c r="CC24" s="194">
        <v>112</v>
      </c>
      <c r="CD24" s="76"/>
      <c r="CE24" s="134" t="s">
        <v>106</v>
      </c>
      <c r="CF24" s="124">
        <v>182</v>
      </c>
      <c r="CG24" s="76"/>
      <c r="CH24" s="70" t="s">
        <v>16</v>
      </c>
      <c r="CI24" s="126">
        <v>104</v>
      </c>
      <c r="CJ24" s="76"/>
      <c r="CK24" s="135" t="s">
        <v>78</v>
      </c>
      <c r="CL24" s="195">
        <v>727</v>
      </c>
      <c r="CY24" s="133" t="s">
        <v>37</v>
      </c>
      <c r="CZ24" s="194">
        <v>170</v>
      </c>
      <c r="DA24" s="76"/>
      <c r="DB24" s="297" t="s">
        <v>16</v>
      </c>
      <c r="DC24" s="71">
        <v>106</v>
      </c>
      <c r="DD24" s="76"/>
      <c r="DE24" s="293" t="s">
        <v>262</v>
      </c>
      <c r="DF24" s="294">
        <v>180</v>
      </c>
      <c r="DG24" s="76"/>
      <c r="DH24" s="299" t="s">
        <v>217</v>
      </c>
      <c r="DI24" s="300">
        <v>98</v>
      </c>
      <c r="DJ24" s="76"/>
      <c r="DK24" s="293" t="s">
        <v>14</v>
      </c>
      <c r="DL24" s="294">
        <v>705</v>
      </c>
      <c r="DY24" s="569" t="s">
        <v>226</v>
      </c>
      <c r="DZ24" s="71">
        <v>176</v>
      </c>
      <c r="EA24" s="76"/>
      <c r="EB24" s="563" t="s">
        <v>5</v>
      </c>
      <c r="EC24" s="544">
        <v>110</v>
      </c>
      <c r="ED24" s="76"/>
      <c r="EE24" s="556" t="s">
        <v>96</v>
      </c>
      <c r="EF24" s="545">
        <v>183</v>
      </c>
      <c r="EG24" s="76"/>
      <c r="EH24" s="567" t="s">
        <v>79</v>
      </c>
      <c r="EI24" s="546">
        <v>105</v>
      </c>
      <c r="EJ24" s="76"/>
      <c r="EK24" s="563" t="s">
        <v>290</v>
      </c>
      <c r="EL24" s="548">
        <v>721</v>
      </c>
      <c r="EY24" s="70" t="s">
        <v>118</v>
      </c>
      <c r="EZ24" s="663">
        <v>170</v>
      </c>
      <c r="FA24" s="76"/>
      <c r="FB24" s="660" t="s">
        <v>293</v>
      </c>
      <c r="FC24" s="665">
        <v>112</v>
      </c>
      <c r="FD24" s="76"/>
      <c r="FE24" s="660" t="s">
        <v>67</v>
      </c>
      <c r="FF24" s="665">
        <v>184</v>
      </c>
      <c r="FG24" s="671"/>
      <c r="FH24" s="657" t="s">
        <v>61</v>
      </c>
      <c r="FI24" s="661">
        <v>103</v>
      </c>
      <c r="FJ24" s="76"/>
      <c r="FK24" s="660" t="s">
        <v>28</v>
      </c>
      <c r="FL24" s="670">
        <v>701</v>
      </c>
      <c r="FY24" s="841" t="s">
        <v>26</v>
      </c>
      <c r="FZ24" s="850">
        <v>171</v>
      </c>
      <c r="GB24" s="840" t="s">
        <v>118</v>
      </c>
      <c r="GC24" s="48">
        <v>113</v>
      </c>
      <c r="GE24" s="840" t="s">
        <v>222</v>
      </c>
      <c r="GF24" s="126">
        <v>179</v>
      </c>
      <c r="GH24" s="840" t="s">
        <v>73</v>
      </c>
      <c r="GI24" s="126">
        <v>102</v>
      </c>
      <c r="GK24" s="840" t="s">
        <v>220</v>
      </c>
      <c r="GL24" s="92">
        <v>729</v>
      </c>
    </row>
    <row r="25" spans="1:194" ht="15.75">
      <c r="B25" s="870" t="s">
        <v>67</v>
      </c>
      <c r="C25" s="852">
        <v>211</v>
      </c>
      <c r="D25" s="105"/>
      <c r="E25" s="868" t="s">
        <v>292</v>
      </c>
      <c r="F25" s="294">
        <v>82</v>
      </c>
      <c r="G25" s="105"/>
      <c r="H25" s="863" t="s">
        <v>3</v>
      </c>
      <c r="I25" s="94">
        <v>881</v>
      </c>
      <c r="K25" s="106" t="s">
        <v>111</v>
      </c>
      <c r="L25" s="202" t="s">
        <v>0</v>
      </c>
      <c r="M25" s="202">
        <v>4043</v>
      </c>
      <c r="N25" s="107"/>
      <c r="O25" s="106" t="s">
        <v>111</v>
      </c>
      <c r="P25" s="182" t="s">
        <v>2</v>
      </c>
      <c r="Q25" s="212">
        <v>962</v>
      </c>
      <c r="Y25" s="189" t="s">
        <v>97</v>
      </c>
      <c r="Z25" s="48">
        <v>166</v>
      </c>
      <c r="AA25" s="76"/>
      <c r="AB25" s="187" t="s">
        <v>21</v>
      </c>
      <c r="AC25" s="92">
        <v>112</v>
      </c>
      <c r="AD25" s="76"/>
      <c r="AE25" s="188" t="s">
        <v>66</v>
      </c>
      <c r="AF25" s="125">
        <v>178</v>
      </c>
      <c r="AG25" s="76"/>
      <c r="AH25" s="132" t="s">
        <v>67</v>
      </c>
      <c r="AI25" s="125">
        <v>102</v>
      </c>
      <c r="AJ25" s="76"/>
      <c r="AK25" s="199" t="s">
        <v>61</v>
      </c>
      <c r="AL25" s="195">
        <v>705</v>
      </c>
      <c r="AY25" s="217" t="s">
        <v>70</v>
      </c>
      <c r="AZ25" s="196">
        <v>172</v>
      </c>
      <c r="BA25" s="76"/>
      <c r="BB25" s="136" t="s">
        <v>34</v>
      </c>
      <c r="BC25" s="196">
        <v>115</v>
      </c>
      <c r="BD25" s="76"/>
      <c r="BE25" s="135" t="s">
        <v>223</v>
      </c>
      <c r="BF25" s="223">
        <v>183</v>
      </c>
      <c r="BG25" s="76"/>
      <c r="BH25" s="233" t="s">
        <v>117</v>
      </c>
      <c r="BI25" s="228">
        <v>109</v>
      </c>
      <c r="BJ25" s="76"/>
      <c r="BK25" s="70" t="s">
        <v>224</v>
      </c>
      <c r="BL25" s="226">
        <v>708</v>
      </c>
      <c r="BY25" s="70" t="s">
        <v>73</v>
      </c>
      <c r="BZ25" s="92">
        <v>171</v>
      </c>
      <c r="CA25" s="76"/>
      <c r="CB25" s="134" t="s">
        <v>93</v>
      </c>
      <c r="CC25" s="198">
        <v>113</v>
      </c>
      <c r="CD25" s="76"/>
      <c r="CE25" s="134" t="s">
        <v>100</v>
      </c>
      <c r="CF25" s="124">
        <v>180</v>
      </c>
      <c r="CG25" s="76"/>
      <c r="CH25" s="132" t="s">
        <v>94</v>
      </c>
      <c r="CI25" s="125">
        <v>104</v>
      </c>
      <c r="CJ25" s="76"/>
      <c r="CK25" s="134" t="s">
        <v>93</v>
      </c>
      <c r="CL25" s="198">
        <v>726</v>
      </c>
      <c r="CY25" s="297" t="s">
        <v>16</v>
      </c>
      <c r="CZ25" s="197">
        <v>168</v>
      </c>
      <c r="DA25" s="76"/>
      <c r="DB25" s="293" t="s">
        <v>98</v>
      </c>
      <c r="DC25" s="308">
        <v>106</v>
      </c>
      <c r="DD25" s="76"/>
      <c r="DE25" s="297" t="s">
        <v>2</v>
      </c>
      <c r="DF25" s="126">
        <v>179</v>
      </c>
      <c r="DG25" s="76"/>
      <c r="DH25" s="297" t="s">
        <v>220</v>
      </c>
      <c r="DI25" s="126">
        <v>99</v>
      </c>
      <c r="DJ25" s="76"/>
      <c r="DK25" s="297" t="s">
        <v>220</v>
      </c>
      <c r="DL25" s="126">
        <v>703</v>
      </c>
      <c r="DY25" s="569" t="s">
        <v>16</v>
      </c>
      <c r="DZ25" s="71">
        <v>175</v>
      </c>
      <c r="EA25" s="76"/>
      <c r="EB25" s="565" t="s">
        <v>8</v>
      </c>
      <c r="EC25" s="547">
        <v>110</v>
      </c>
      <c r="ED25" s="76"/>
      <c r="EE25" s="568" t="s">
        <v>127</v>
      </c>
      <c r="EF25" s="545">
        <v>182</v>
      </c>
      <c r="EG25" s="76"/>
      <c r="EH25" s="568" t="s">
        <v>104</v>
      </c>
      <c r="EI25" s="545">
        <v>105</v>
      </c>
      <c r="EJ25" s="76"/>
      <c r="EK25" s="563" t="s">
        <v>18</v>
      </c>
      <c r="EL25" s="548">
        <v>718</v>
      </c>
      <c r="EY25" s="659" t="s">
        <v>285</v>
      </c>
      <c r="EZ25" s="664">
        <v>170</v>
      </c>
      <c r="FA25" s="76"/>
      <c r="FB25" s="70" t="s">
        <v>224</v>
      </c>
      <c r="FC25" s="663">
        <v>115</v>
      </c>
      <c r="FD25" s="76"/>
      <c r="FE25" s="659" t="s">
        <v>96</v>
      </c>
      <c r="FF25" s="664">
        <v>182</v>
      </c>
      <c r="FG25" s="671"/>
      <c r="FH25" s="657" t="s">
        <v>77</v>
      </c>
      <c r="FI25" s="661">
        <v>103</v>
      </c>
      <c r="FJ25" s="76"/>
      <c r="FK25" s="70" t="s">
        <v>118</v>
      </c>
      <c r="FL25" s="668">
        <v>695</v>
      </c>
      <c r="FY25" s="844" t="s">
        <v>35</v>
      </c>
      <c r="FZ25" s="846">
        <v>170</v>
      </c>
      <c r="GB25" s="848" t="s">
        <v>37</v>
      </c>
      <c r="GC25" s="849">
        <v>115</v>
      </c>
      <c r="GE25" s="847" t="s">
        <v>66</v>
      </c>
      <c r="GF25" s="852">
        <v>178</v>
      </c>
      <c r="GH25" s="841" t="s">
        <v>14</v>
      </c>
      <c r="GI25" s="294">
        <v>102</v>
      </c>
      <c r="GK25" s="844" t="s">
        <v>35</v>
      </c>
      <c r="GL25" s="94">
        <v>722</v>
      </c>
    </row>
    <row r="26" spans="1:194" ht="15.75">
      <c r="B26" s="870" t="s">
        <v>31</v>
      </c>
      <c r="C26" s="852">
        <v>210</v>
      </c>
      <c r="D26" s="105"/>
      <c r="E26" s="881" t="s">
        <v>104</v>
      </c>
      <c r="F26" s="850">
        <v>83</v>
      </c>
      <c r="G26" s="105"/>
      <c r="H26" s="866" t="s">
        <v>3</v>
      </c>
      <c r="I26" s="867">
        <v>876</v>
      </c>
      <c r="K26" s="106" t="s">
        <v>112</v>
      </c>
      <c r="L26" s="577" t="s">
        <v>4</v>
      </c>
      <c r="M26" s="577">
        <v>3979</v>
      </c>
      <c r="N26" s="107"/>
      <c r="O26" s="106" t="s">
        <v>112</v>
      </c>
      <c r="P26" s="211" t="s">
        <v>222</v>
      </c>
      <c r="Q26" s="212">
        <v>901</v>
      </c>
      <c r="Y26" s="132" t="s">
        <v>67</v>
      </c>
      <c r="Z26" s="125">
        <v>166</v>
      </c>
      <c r="AA26" s="76"/>
      <c r="AB26" s="184" t="s">
        <v>36</v>
      </c>
      <c r="AC26" s="194">
        <v>113</v>
      </c>
      <c r="AD26" s="76"/>
      <c r="AE26" s="187" t="s">
        <v>21</v>
      </c>
      <c r="AF26" s="126">
        <v>176</v>
      </c>
      <c r="AG26" s="76"/>
      <c r="AH26" s="186" t="s">
        <v>13</v>
      </c>
      <c r="AI26" s="122">
        <v>103</v>
      </c>
      <c r="AJ26" s="76"/>
      <c r="AK26" s="187" t="s">
        <v>21</v>
      </c>
      <c r="AL26" s="197">
        <v>702</v>
      </c>
      <c r="AY26" s="72" t="s">
        <v>226</v>
      </c>
      <c r="AZ26" s="196">
        <v>172</v>
      </c>
      <c r="BA26" s="76"/>
      <c r="BB26" s="217" t="s">
        <v>99</v>
      </c>
      <c r="BC26" s="196">
        <v>116</v>
      </c>
      <c r="BD26" s="76"/>
      <c r="BE26" s="133" t="s">
        <v>82</v>
      </c>
      <c r="BF26" s="230">
        <v>183</v>
      </c>
      <c r="BG26" s="76"/>
      <c r="BH26" s="225" t="s">
        <v>224</v>
      </c>
      <c r="BI26" s="221">
        <v>109</v>
      </c>
      <c r="BJ26" s="76"/>
      <c r="BK26" s="135" t="s">
        <v>35</v>
      </c>
      <c r="BL26" s="224">
        <v>701</v>
      </c>
      <c r="BY26" s="133" t="s">
        <v>5</v>
      </c>
      <c r="BZ26" s="194">
        <v>170</v>
      </c>
      <c r="CA26" s="76"/>
      <c r="CB26" s="135" t="s">
        <v>35</v>
      </c>
      <c r="CC26" s="195">
        <v>116</v>
      </c>
      <c r="CD26" s="76"/>
      <c r="CE26" s="186" t="s">
        <v>61</v>
      </c>
      <c r="CF26" s="122">
        <v>180</v>
      </c>
      <c r="CG26" s="76"/>
      <c r="CH26" s="132" t="s">
        <v>243</v>
      </c>
      <c r="CI26" s="125">
        <v>104</v>
      </c>
      <c r="CJ26" s="76"/>
      <c r="CK26" s="186" t="s">
        <v>244</v>
      </c>
      <c r="CL26" s="195">
        <v>720</v>
      </c>
      <c r="CY26" s="133" t="s">
        <v>18</v>
      </c>
      <c r="CZ26" s="194">
        <v>168</v>
      </c>
      <c r="DA26" s="76"/>
      <c r="DB26" s="293" t="s">
        <v>14</v>
      </c>
      <c r="DC26" s="308">
        <v>110</v>
      </c>
      <c r="DD26" s="76"/>
      <c r="DE26" s="133" t="s">
        <v>36</v>
      </c>
      <c r="DF26" s="123">
        <v>179</v>
      </c>
      <c r="DG26" s="76"/>
      <c r="DH26" s="299" t="s">
        <v>29</v>
      </c>
      <c r="DI26" s="300">
        <v>99</v>
      </c>
      <c r="DJ26" s="76"/>
      <c r="DK26" s="293" t="s">
        <v>26</v>
      </c>
      <c r="DL26" s="294">
        <v>700</v>
      </c>
      <c r="DY26" s="563" t="s">
        <v>5</v>
      </c>
      <c r="DZ26" s="544">
        <v>172</v>
      </c>
      <c r="EA26" s="76"/>
      <c r="EB26" s="563" t="s">
        <v>37</v>
      </c>
      <c r="EC26" s="544">
        <v>112</v>
      </c>
      <c r="ED26" s="76"/>
      <c r="EE26" s="568" t="s">
        <v>106</v>
      </c>
      <c r="EF26" s="545">
        <v>181</v>
      </c>
      <c r="EG26" s="76"/>
      <c r="EH26" s="72" t="s">
        <v>226</v>
      </c>
      <c r="EI26" s="71">
        <v>105</v>
      </c>
      <c r="EJ26" s="76"/>
      <c r="EK26" s="563" t="s">
        <v>81</v>
      </c>
      <c r="EL26" s="548">
        <v>717</v>
      </c>
      <c r="EY26" s="659" t="s">
        <v>105</v>
      </c>
      <c r="EZ26" s="664">
        <v>169</v>
      </c>
      <c r="FA26" s="76"/>
      <c r="FB26" s="660" t="s">
        <v>124</v>
      </c>
      <c r="FC26" s="665">
        <v>119</v>
      </c>
      <c r="FD26" s="76"/>
      <c r="FE26" s="660" t="s">
        <v>124</v>
      </c>
      <c r="FF26" s="665">
        <v>182</v>
      </c>
      <c r="FG26" s="671"/>
      <c r="FH26" s="70" t="s">
        <v>32</v>
      </c>
      <c r="FI26" s="663">
        <v>105</v>
      </c>
      <c r="FJ26" s="76"/>
      <c r="FK26" s="660" t="s">
        <v>31</v>
      </c>
      <c r="FL26" s="670">
        <v>695</v>
      </c>
      <c r="FY26" s="840" t="s">
        <v>97</v>
      </c>
      <c r="FZ26" s="48">
        <v>170</v>
      </c>
      <c r="GB26" s="840" t="s">
        <v>226</v>
      </c>
      <c r="GC26" s="48">
        <v>115</v>
      </c>
      <c r="GE26" s="844" t="s">
        <v>34</v>
      </c>
      <c r="GF26" s="846">
        <v>178</v>
      </c>
      <c r="GH26" s="848" t="s">
        <v>290</v>
      </c>
      <c r="GI26" s="851">
        <v>103</v>
      </c>
      <c r="GK26" s="840" t="s">
        <v>226</v>
      </c>
      <c r="GL26" s="92">
        <v>717</v>
      </c>
    </row>
    <row r="27" spans="1:194" ht="15.75">
      <c r="B27" s="876" t="s">
        <v>223</v>
      </c>
      <c r="C27" s="846">
        <v>210</v>
      </c>
      <c r="D27" s="105"/>
      <c r="E27" s="868" t="s">
        <v>14</v>
      </c>
      <c r="F27" s="294">
        <v>83</v>
      </c>
      <c r="G27" s="105"/>
      <c r="H27" s="864" t="s">
        <v>82</v>
      </c>
      <c r="I27" s="853">
        <v>863</v>
      </c>
      <c r="K27" s="106" t="s">
        <v>113</v>
      </c>
      <c r="L27" s="201" t="s">
        <v>17</v>
      </c>
      <c r="M27" s="201">
        <v>3935</v>
      </c>
      <c r="N27" s="107"/>
      <c r="O27" s="106" t="s">
        <v>113</v>
      </c>
      <c r="P27" s="815" t="s">
        <v>67</v>
      </c>
      <c r="Q27" s="677">
        <v>894</v>
      </c>
      <c r="Y27" s="187" t="s">
        <v>16</v>
      </c>
      <c r="Z27" s="48">
        <v>165</v>
      </c>
      <c r="AA27" s="76"/>
      <c r="AB27" s="188" t="s">
        <v>28</v>
      </c>
      <c r="AC27" s="196">
        <v>114</v>
      </c>
      <c r="AD27" s="76"/>
      <c r="AE27" s="189" t="s">
        <v>59</v>
      </c>
      <c r="AF27" s="126">
        <v>176</v>
      </c>
      <c r="AG27" s="76"/>
      <c r="AH27" s="133" t="s">
        <v>37</v>
      </c>
      <c r="AI27" s="123">
        <v>103</v>
      </c>
      <c r="AJ27" s="76"/>
      <c r="AK27" s="188" t="s">
        <v>28</v>
      </c>
      <c r="AL27" s="196">
        <v>691</v>
      </c>
      <c r="AY27" s="137" t="s">
        <v>105</v>
      </c>
      <c r="AZ27" s="196">
        <v>170</v>
      </c>
      <c r="BA27" s="76"/>
      <c r="BB27" s="137" t="s">
        <v>44</v>
      </c>
      <c r="BC27" s="196">
        <v>120</v>
      </c>
      <c r="BD27" s="76"/>
      <c r="BE27" s="134" t="s">
        <v>60</v>
      </c>
      <c r="BF27" s="232">
        <v>182</v>
      </c>
      <c r="BG27" s="76"/>
      <c r="BH27" s="225" t="s">
        <v>91</v>
      </c>
      <c r="BI27" s="221">
        <v>109</v>
      </c>
      <c r="BJ27" s="76"/>
      <c r="BK27" s="135" t="s">
        <v>225</v>
      </c>
      <c r="BL27" s="224">
        <v>693</v>
      </c>
      <c r="BY27" s="70" t="s">
        <v>220</v>
      </c>
      <c r="BZ27" s="92">
        <v>170</v>
      </c>
      <c r="CA27" s="76"/>
      <c r="CB27" s="70" t="s">
        <v>73</v>
      </c>
      <c r="CC27" s="92">
        <v>116</v>
      </c>
      <c r="CD27" s="76"/>
      <c r="CE27" s="186" t="s">
        <v>3</v>
      </c>
      <c r="CF27" s="122">
        <v>180</v>
      </c>
      <c r="CG27" s="76"/>
      <c r="CH27" s="134" t="s">
        <v>14</v>
      </c>
      <c r="CI27" s="124">
        <v>105</v>
      </c>
      <c r="CJ27" s="76"/>
      <c r="CK27" s="186" t="s">
        <v>61</v>
      </c>
      <c r="CL27" s="195">
        <v>711</v>
      </c>
      <c r="CY27" s="133" t="s">
        <v>10</v>
      </c>
      <c r="CZ27" s="194">
        <v>166</v>
      </c>
      <c r="DA27" s="76"/>
      <c r="DB27" s="295" t="s">
        <v>61</v>
      </c>
      <c r="DC27" s="307">
        <v>110</v>
      </c>
      <c r="DD27" s="76"/>
      <c r="DE27" s="297" t="s">
        <v>226</v>
      </c>
      <c r="DF27" s="126">
        <v>179</v>
      </c>
      <c r="DG27" s="76"/>
      <c r="DH27" s="295" t="s">
        <v>19</v>
      </c>
      <c r="DI27" s="296">
        <v>100</v>
      </c>
      <c r="DJ27" s="76"/>
      <c r="DK27" s="133" t="s">
        <v>81</v>
      </c>
      <c r="DL27" s="123">
        <v>688</v>
      </c>
      <c r="DY27" s="563" t="s">
        <v>36</v>
      </c>
      <c r="DZ27" s="544">
        <v>171</v>
      </c>
      <c r="EA27" s="76"/>
      <c r="EB27" s="565" t="s">
        <v>46</v>
      </c>
      <c r="EC27" s="547">
        <v>113</v>
      </c>
      <c r="ED27" s="76"/>
      <c r="EE27" s="579" t="s">
        <v>222</v>
      </c>
      <c r="EF27" s="71">
        <v>181</v>
      </c>
      <c r="EG27" s="76"/>
      <c r="EH27" s="567" t="s">
        <v>286</v>
      </c>
      <c r="EI27" s="546">
        <v>106</v>
      </c>
      <c r="EJ27" s="76"/>
      <c r="EK27" s="569" t="s">
        <v>97</v>
      </c>
      <c r="EL27" s="92">
        <v>717</v>
      </c>
      <c r="EY27" s="659" t="s">
        <v>44</v>
      </c>
      <c r="EZ27" s="664">
        <v>167</v>
      </c>
      <c r="FA27" s="76"/>
      <c r="FB27" s="657" t="s">
        <v>8</v>
      </c>
      <c r="FC27" s="661">
        <v>120</v>
      </c>
      <c r="FD27" s="76"/>
      <c r="FE27" s="658" t="s">
        <v>70</v>
      </c>
      <c r="FF27" s="662">
        <v>181</v>
      </c>
      <c r="FG27" s="671"/>
      <c r="FH27" s="658" t="s">
        <v>9</v>
      </c>
      <c r="FI27" s="662">
        <v>106</v>
      </c>
      <c r="FJ27" s="76"/>
      <c r="FK27" s="659" t="s">
        <v>26</v>
      </c>
      <c r="FL27" s="669">
        <v>694</v>
      </c>
      <c r="FY27" s="841" t="s">
        <v>14</v>
      </c>
      <c r="FZ27" s="850">
        <v>170</v>
      </c>
      <c r="GB27" s="847" t="s">
        <v>95</v>
      </c>
      <c r="GC27" s="846">
        <v>116</v>
      </c>
      <c r="GE27" s="847" t="s">
        <v>254</v>
      </c>
      <c r="GF27" s="852">
        <v>178</v>
      </c>
      <c r="GH27" s="847" t="s">
        <v>124</v>
      </c>
      <c r="GI27" s="852">
        <v>103</v>
      </c>
      <c r="GK27" s="847" t="s">
        <v>31</v>
      </c>
      <c r="GL27" s="91">
        <v>697</v>
      </c>
    </row>
    <row r="28" spans="1:194" ht="15.75">
      <c r="A28" s="108"/>
      <c r="B28" s="869" t="s">
        <v>10</v>
      </c>
      <c r="C28" s="849">
        <v>208</v>
      </c>
      <c r="D28" s="127"/>
      <c r="E28" s="882" t="s">
        <v>19</v>
      </c>
      <c r="F28" s="873">
        <v>84</v>
      </c>
      <c r="G28" s="109"/>
      <c r="H28" s="871" t="s">
        <v>222</v>
      </c>
      <c r="I28" s="92">
        <v>863</v>
      </c>
      <c r="K28" s="930" t="s">
        <v>299</v>
      </c>
      <c r="L28" s="930"/>
      <c r="M28" s="930"/>
      <c r="N28" s="930"/>
      <c r="O28" s="930"/>
      <c r="P28" s="930"/>
      <c r="Q28" s="111" t="s">
        <v>122</v>
      </c>
      <c r="Y28" s="186" t="s">
        <v>13</v>
      </c>
      <c r="Z28" s="122">
        <v>160</v>
      </c>
      <c r="AA28" s="76"/>
      <c r="AB28" s="188" t="s">
        <v>31</v>
      </c>
      <c r="AC28" s="196">
        <v>115</v>
      </c>
      <c r="AD28" s="77"/>
      <c r="AE28" s="188" t="s">
        <v>66</v>
      </c>
      <c r="AF28" s="125">
        <v>175</v>
      </c>
      <c r="AG28" s="78"/>
      <c r="AH28" s="185" t="s">
        <v>106</v>
      </c>
      <c r="AI28" s="124">
        <v>103</v>
      </c>
      <c r="AJ28" s="78"/>
      <c r="AK28" s="132" t="s">
        <v>67</v>
      </c>
      <c r="AL28" s="196">
        <v>680</v>
      </c>
      <c r="AY28" s="137" t="s">
        <v>127</v>
      </c>
      <c r="AZ28" s="196">
        <v>161</v>
      </c>
      <c r="BA28" s="76"/>
      <c r="BB28" s="136" t="s">
        <v>35</v>
      </c>
      <c r="BC28" s="196">
        <v>121</v>
      </c>
      <c r="BD28" s="77"/>
      <c r="BE28" s="70" t="s">
        <v>2</v>
      </c>
      <c r="BF28" s="221">
        <v>181</v>
      </c>
      <c r="BG28" s="78"/>
      <c r="BH28" s="235" t="s">
        <v>106</v>
      </c>
      <c r="BI28" s="232">
        <v>110</v>
      </c>
      <c r="BJ28" s="78"/>
      <c r="BK28" s="133" t="s">
        <v>70</v>
      </c>
      <c r="BL28" s="229">
        <v>693</v>
      </c>
      <c r="BY28" s="134" t="s">
        <v>26</v>
      </c>
      <c r="BZ28" s="198">
        <v>170</v>
      </c>
      <c r="CA28" s="76"/>
      <c r="CB28" s="133" t="s">
        <v>18</v>
      </c>
      <c r="CC28" s="194">
        <v>117</v>
      </c>
      <c r="CD28" s="77"/>
      <c r="CE28" s="70" t="s">
        <v>2</v>
      </c>
      <c r="CF28" s="126">
        <v>179</v>
      </c>
      <c r="CG28" s="78"/>
      <c r="CH28" s="134" t="s">
        <v>104</v>
      </c>
      <c r="CI28" s="124">
        <v>105</v>
      </c>
      <c r="CJ28" s="78"/>
      <c r="CK28" s="133" t="s">
        <v>5</v>
      </c>
      <c r="CL28" s="194">
        <v>705</v>
      </c>
      <c r="CY28" s="133" t="s">
        <v>70</v>
      </c>
      <c r="CZ28" s="194">
        <v>165</v>
      </c>
      <c r="DA28" s="76"/>
      <c r="DB28" s="295" t="s">
        <v>46</v>
      </c>
      <c r="DC28" s="307">
        <v>111</v>
      </c>
      <c r="DD28" s="77"/>
      <c r="DE28" s="295" t="s">
        <v>3</v>
      </c>
      <c r="DF28" s="296">
        <v>179</v>
      </c>
      <c r="DG28" s="78"/>
      <c r="DH28" s="293" t="s">
        <v>93</v>
      </c>
      <c r="DI28" s="294">
        <v>100</v>
      </c>
      <c r="DJ28" s="78"/>
      <c r="DK28" s="133" t="s">
        <v>99</v>
      </c>
      <c r="DL28" s="123">
        <v>682</v>
      </c>
      <c r="DY28" s="563" t="s">
        <v>288</v>
      </c>
      <c r="DZ28" s="544">
        <v>171</v>
      </c>
      <c r="EA28" s="76"/>
      <c r="EB28" s="567" t="s">
        <v>217</v>
      </c>
      <c r="EC28" s="546">
        <v>116</v>
      </c>
      <c r="ED28" s="77"/>
      <c r="EE28" s="579" t="s">
        <v>222</v>
      </c>
      <c r="EF28" s="71">
        <v>179</v>
      </c>
      <c r="EG28" s="78"/>
      <c r="EH28" s="565" t="s">
        <v>19</v>
      </c>
      <c r="EI28" s="547">
        <v>106</v>
      </c>
      <c r="EJ28" s="78"/>
      <c r="EK28" s="569" t="s">
        <v>73</v>
      </c>
      <c r="EL28" s="92">
        <v>704</v>
      </c>
      <c r="EY28" s="70" t="s">
        <v>220</v>
      </c>
      <c r="EZ28" s="663">
        <v>164</v>
      </c>
      <c r="FA28" s="76"/>
      <c r="FB28" s="658" t="s">
        <v>70</v>
      </c>
      <c r="FC28" s="662">
        <v>120</v>
      </c>
      <c r="FD28" s="77"/>
      <c r="FE28" s="657" t="s">
        <v>3</v>
      </c>
      <c r="FF28" s="661">
        <v>181</v>
      </c>
      <c r="FG28" s="673"/>
      <c r="FH28" s="658" t="s">
        <v>99</v>
      </c>
      <c r="FI28" s="662">
        <v>107</v>
      </c>
      <c r="FJ28" s="78"/>
      <c r="FK28" s="658" t="s">
        <v>18</v>
      </c>
      <c r="FL28" s="667">
        <v>691</v>
      </c>
      <c r="FY28" s="848" t="s">
        <v>290</v>
      </c>
      <c r="FZ28" s="849">
        <v>168</v>
      </c>
      <c r="GA28" s="854"/>
      <c r="GB28" s="844" t="s">
        <v>35</v>
      </c>
      <c r="GC28" s="846">
        <v>116</v>
      </c>
      <c r="GD28" s="854"/>
      <c r="GE28" s="848" t="s">
        <v>36</v>
      </c>
      <c r="GF28" s="851">
        <v>177</v>
      </c>
      <c r="GG28" s="854"/>
      <c r="GH28" s="847" t="s">
        <v>254</v>
      </c>
      <c r="GI28" s="852">
        <v>104</v>
      </c>
      <c r="GJ28" s="854"/>
      <c r="GK28" s="847" t="s">
        <v>95</v>
      </c>
      <c r="GL28" s="91">
        <v>687</v>
      </c>
    </row>
    <row r="29" spans="1:194" ht="15.75">
      <c r="B29" s="848" t="s">
        <v>36</v>
      </c>
      <c r="C29" s="860">
        <v>208</v>
      </c>
      <c r="E29" s="883" t="s">
        <v>243</v>
      </c>
      <c r="F29" s="884">
        <v>84</v>
      </c>
      <c r="G29" s="105"/>
      <c r="K29" s="106" t="s">
        <v>111</v>
      </c>
      <c r="L29" s="202" t="s">
        <v>0</v>
      </c>
      <c r="M29" s="202">
        <v>4105</v>
      </c>
      <c r="N29" s="107"/>
      <c r="O29" s="106" t="s">
        <v>111</v>
      </c>
      <c r="P29" s="814" t="s">
        <v>244</v>
      </c>
      <c r="Q29" s="818">
        <v>893</v>
      </c>
      <c r="Y29" s="199" t="s">
        <v>61</v>
      </c>
      <c r="Z29" s="122">
        <v>157</v>
      </c>
      <c r="AA29" s="76"/>
      <c r="AB29" s="186" t="s">
        <v>46</v>
      </c>
      <c r="AC29" s="195">
        <v>116</v>
      </c>
      <c r="AD29" s="76"/>
      <c r="AG29" s="76"/>
      <c r="AH29" s="132" t="s">
        <v>218</v>
      </c>
      <c r="AI29" s="125">
        <v>103</v>
      </c>
      <c r="AJ29" s="76"/>
      <c r="AY29" s="216" t="s">
        <v>80</v>
      </c>
      <c r="AZ29" s="196">
        <v>159</v>
      </c>
      <c r="BA29" s="76"/>
      <c r="BB29" s="217" t="s">
        <v>81</v>
      </c>
      <c r="BC29" s="196">
        <v>121</v>
      </c>
      <c r="BD29" s="76"/>
      <c r="BG29" s="76"/>
      <c r="BH29" s="235" t="s">
        <v>14</v>
      </c>
      <c r="BI29" s="232">
        <v>110</v>
      </c>
      <c r="BJ29" s="76"/>
      <c r="BK29" s="3"/>
      <c r="BL29" s="3"/>
      <c r="BY29" s="135" t="s">
        <v>34</v>
      </c>
      <c r="BZ29" s="195">
        <v>169</v>
      </c>
      <c r="CA29" s="76"/>
      <c r="CB29" s="133" t="s">
        <v>81</v>
      </c>
      <c r="CC29" s="194">
        <v>117</v>
      </c>
      <c r="CD29" s="76"/>
      <c r="CE29" s="132" t="s">
        <v>68</v>
      </c>
      <c r="CF29" s="125">
        <v>179</v>
      </c>
      <c r="CG29" s="76"/>
      <c r="CY29" s="293" t="s">
        <v>14</v>
      </c>
      <c r="CZ29" s="303">
        <v>161</v>
      </c>
      <c r="DA29" s="76"/>
      <c r="DB29" s="133" t="s">
        <v>70</v>
      </c>
      <c r="DC29" s="120">
        <v>111</v>
      </c>
      <c r="DD29" s="76"/>
      <c r="DE29" s="117"/>
      <c r="DF29" s="121"/>
      <c r="DG29" s="76"/>
      <c r="DH29" s="299" t="s">
        <v>253</v>
      </c>
      <c r="DI29" s="300">
        <v>100</v>
      </c>
      <c r="DJ29" s="3"/>
      <c r="DK29" s="3"/>
      <c r="DL29" s="64"/>
      <c r="DY29" s="579" t="s">
        <v>222</v>
      </c>
      <c r="DZ29" s="71">
        <v>171</v>
      </c>
      <c r="EA29" s="76"/>
      <c r="EB29" s="563" t="s">
        <v>36</v>
      </c>
      <c r="EC29" s="544">
        <v>117</v>
      </c>
      <c r="ED29" s="76"/>
      <c r="EG29" s="76"/>
      <c r="EJ29" s="3"/>
      <c r="EK29" s="3"/>
      <c r="EL29" s="64"/>
      <c r="EY29" s="657" t="s">
        <v>34</v>
      </c>
      <c r="EZ29" s="661">
        <v>163</v>
      </c>
      <c r="FA29" s="76"/>
      <c r="FB29" s="660" t="s">
        <v>28</v>
      </c>
      <c r="FC29" s="665">
        <v>120</v>
      </c>
      <c r="FD29" s="76"/>
      <c r="FJ29" s="76"/>
      <c r="FK29" s="76"/>
      <c r="FL29" s="79"/>
      <c r="FY29" s="841" t="s">
        <v>100</v>
      </c>
      <c r="FZ29" s="850">
        <v>168</v>
      </c>
      <c r="GB29" s="848" t="s">
        <v>9</v>
      </c>
      <c r="GC29" s="849">
        <v>116</v>
      </c>
      <c r="GE29" s="844" t="s">
        <v>244</v>
      </c>
      <c r="GF29" s="846">
        <v>177</v>
      </c>
    </row>
    <row r="30" spans="1:194" ht="15.75">
      <c r="B30" s="132" t="s">
        <v>68</v>
      </c>
      <c r="C30" s="228">
        <v>205</v>
      </c>
      <c r="K30" s="106" t="s">
        <v>112</v>
      </c>
      <c r="L30" s="201" t="s">
        <v>17</v>
      </c>
      <c r="M30" s="201">
        <v>3972</v>
      </c>
      <c r="N30" s="107"/>
      <c r="O30" s="106" t="s">
        <v>112</v>
      </c>
      <c r="P30" s="816" t="s">
        <v>66</v>
      </c>
      <c r="Q30" s="817">
        <v>888</v>
      </c>
      <c r="Y30" s="185" t="s">
        <v>26</v>
      </c>
      <c r="Z30" s="124">
        <v>157</v>
      </c>
      <c r="AA30" s="76"/>
      <c r="AB30" s="185" t="s">
        <v>26</v>
      </c>
      <c r="AC30" s="198">
        <v>116</v>
      </c>
      <c r="AD30" s="76"/>
      <c r="AY30" s="217" t="s">
        <v>18</v>
      </c>
      <c r="AZ30" s="196">
        <v>158</v>
      </c>
      <c r="BA30" s="76"/>
      <c r="BB30" s="217" t="s">
        <v>70</v>
      </c>
      <c r="BC30" s="196">
        <v>121</v>
      </c>
      <c r="BD30" s="76"/>
      <c r="BG30" s="3"/>
      <c r="BH30" s="234" t="s">
        <v>221</v>
      </c>
      <c r="BI30" s="230">
        <v>110</v>
      </c>
      <c r="BJ30" s="3"/>
      <c r="BK30" s="3"/>
      <c r="BL30" s="3"/>
      <c r="BY30" s="134" t="s">
        <v>93</v>
      </c>
      <c r="BZ30" s="198">
        <v>169</v>
      </c>
      <c r="CA30" s="76"/>
      <c r="CB30" s="133" t="s">
        <v>10</v>
      </c>
      <c r="CC30" s="194">
        <v>117</v>
      </c>
      <c r="CD30" s="76"/>
      <c r="CE30" s="70" t="s">
        <v>2</v>
      </c>
      <c r="CF30" s="126">
        <v>179</v>
      </c>
      <c r="CG30" s="3"/>
      <c r="CY30" s="295" t="s">
        <v>35</v>
      </c>
      <c r="CZ30" s="304">
        <v>161</v>
      </c>
      <c r="DA30" s="76"/>
      <c r="DB30" s="133" t="s">
        <v>99</v>
      </c>
      <c r="DC30" s="120">
        <v>112</v>
      </c>
      <c r="DD30" s="76"/>
      <c r="DE30" s="116"/>
      <c r="DF30" s="120"/>
      <c r="DG30" s="3"/>
      <c r="DH30" s="3"/>
      <c r="DI30" s="64"/>
      <c r="DJ30" s="3"/>
      <c r="DK30" s="3"/>
      <c r="DL30" s="64"/>
      <c r="DY30" s="565" t="s">
        <v>46</v>
      </c>
      <c r="DZ30" s="547">
        <v>167</v>
      </c>
      <c r="EA30" s="76"/>
      <c r="EB30" s="563" t="s">
        <v>290</v>
      </c>
      <c r="EC30" s="544">
        <v>118</v>
      </c>
      <c r="ED30" s="76"/>
      <c r="EG30" s="3"/>
      <c r="EJ30" s="3"/>
      <c r="EK30" s="3"/>
      <c r="EL30" s="64"/>
      <c r="EY30" s="70" t="s">
        <v>226</v>
      </c>
      <c r="EZ30" s="663">
        <v>162</v>
      </c>
      <c r="FA30" s="76"/>
      <c r="FB30" s="658" t="s">
        <v>81</v>
      </c>
      <c r="FC30" s="662">
        <v>121</v>
      </c>
      <c r="FD30" s="76"/>
      <c r="FJ30" s="76"/>
      <c r="FK30" s="76"/>
      <c r="FL30" s="79"/>
      <c r="FY30" s="847" t="s">
        <v>95</v>
      </c>
      <c r="FZ30" s="846">
        <v>165</v>
      </c>
      <c r="GB30" s="844" t="s">
        <v>297</v>
      </c>
      <c r="GC30" s="846">
        <v>120</v>
      </c>
    </row>
    <row r="31" spans="1:194" ht="15.75">
      <c r="B31" s="133" t="s">
        <v>9</v>
      </c>
      <c r="C31" s="123">
        <v>205</v>
      </c>
      <c r="K31" s="106" t="s">
        <v>113</v>
      </c>
      <c r="L31" s="577" t="s">
        <v>4</v>
      </c>
      <c r="M31" s="826">
        <v>3868</v>
      </c>
      <c r="N31" s="107"/>
      <c r="O31" s="106" t="s">
        <v>113</v>
      </c>
      <c r="P31" s="211" t="s">
        <v>222</v>
      </c>
      <c r="Q31" s="212">
        <v>863</v>
      </c>
      <c r="Y31" s="188" t="s">
        <v>31</v>
      </c>
      <c r="Z31" s="125">
        <v>157</v>
      </c>
      <c r="AA31" s="76"/>
      <c r="AB31" s="186" t="s">
        <v>8</v>
      </c>
      <c r="AC31" s="195">
        <v>117</v>
      </c>
      <c r="AD31" s="76"/>
      <c r="AY31" s="72" t="s">
        <v>16</v>
      </c>
      <c r="AZ31" s="196">
        <v>158</v>
      </c>
      <c r="BA31" s="76"/>
      <c r="BB31" s="137" t="s">
        <v>127</v>
      </c>
      <c r="BC31" s="196">
        <v>121</v>
      </c>
      <c r="BD31" s="76"/>
      <c r="BG31" s="3"/>
      <c r="BH31" s="222" t="s">
        <v>13</v>
      </c>
      <c r="BI31" s="223">
        <v>110</v>
      </c>
      <c r="BJ31" s="3"/>
      <c r="BK31" s="3"/>
      <c r="BL31" s="3"/>
      <c r="BY31" s="188" t="s">
        <v>95</v>
      </c>
      <c r="BZ31" s="196">
        <v>168</v>
      </c>
      <c r="CA31" s="76"/>
      <c r="CB31" s="186" t="s">
        <v>61</v>
      </c>
      <c r="CC31" s="195">
        <v>118</v>
      </c>
      <c r="CD31" s="76"/>
      <c r="CE31" s="133" t="s">
        <v>10</v>
      </c>
      <c r="CF31" s="123">
        <v>179</v>
      </c>
      <c r="CG31" s="3"/>
      <c r="CY31" s="299" t="s">
        <v>254</v>
      </c>
      <c r="CZ31" s="305">
        <v>160</v>
      </c>
      <c r="DA31" s="76"/>
      <c r="DB31" s="299" t="s">
        <v>95</v>
      </c>
      <c r="DC31" s="306">
        <v>113</v>
      </c>
      <c r="DD31" s="76"/>
      <c r="DE31" s="3"/>
      <c r="DF31" s="64"/>
      <c r="DG31" s="3"/>
      <c r="DH31" s="3"/>
      <c r="DI31" s="64"/>
      <c r="DJ31" s="3"/>
      <c r="DK31" s="3"/>
      <c r="DL31" s="64"/>
      <c r="DY31" s="569" t="s">
        <v>73</v>
      </c>
      <c r="DZ31" s="71">
        <v>166</v>
      </c>
      <c r="EA31" s="76"/>
      <c r="EB31" s="569" t="s">
        <v>73</v>
      </c>
      <c r="EC31" s="71">
        <v>119</v>
      </c>
      <c r="ED31" s="76"/>
      <c r="EG31" s="3"/>
      <c r="EJ31" s="3"/>
      <c r="EK31" s="3"/>
      <c r="EL31" s="64"/>
      <c r="EY31" s="657" t="s">
        <v>244</v>
      </c>
      <c r="EZ31" s="661">
        <v>161</v>
      </c>
      <c r="FA31" s="76"/>
      <c r="FB31" s="659" t="s">
        <v>26</v>
      </c>
      <c r="FC31" s="664">
        <v>121</v>
      </c>
      <c r="FD31" s="76"/>
      <c r="FJ31" s="76"/>
      <c r="FK31" s="76"/>
      <c r="FL31" s="79"/>
      <c r="FY31" s="847" t="s">
        <v>67</v>
      </c>
      <c r="FZ31" s="846">
        <v>164</v>
      </c>
      <c r="GB31" s="840" t="s">
        <v>224</v>
      </c>
      <c r="GC31" s="48">
        <v>121</v>
      </c>
    </row>
    <row r="32" spans="1:194" ht="15.75">
      <c r="B32" s="70" t="s">
        <v>2</v>
      </c>
      <c r="C32" s="126">
        <v>205</v>
      </c>
      <c r="Y32" s="188" t="s">
        <v>28</v>
      </c>
      <c r="Z32" s="125">
        <v>156</v>
      </c>
      <c r="AA32" s="76"/>
      <c r="AB32" s="185" t="s">
        <v>93</v>
      </c>
      <c r="AC32" s="198">
        <v>119</v>
      </c>
      <c r="AD32" s="76"/>
      <c r="AY32" s="136" t="s">
        <v>35</v>
      </c>
      <c r="AZ32" s="196">
        <v>154</v>
      </c>
      <c r="BA32" s="76"/>
      <c r="BB32" s="137" t="s">
        <v>26</v>
      </c>
      <c r="BC32" s="196">
        <v>123</v>
      </c>
      <c r="BD32" s="76"/>
      <c r="BG32" s="3"/>
      <c r="BJ32" s="3"/>
      <c r="BK32" s="3"/>
      <c r="BL32" s="3"/>
      <c r="BY32" s="133" t="s">
        <v>70</v>
      </c>
      <c r="BZ32" s="194">
        <v>168</v>
      </c>
      <c r="CA32" s="76"/>
      <c r="CB32" s="134" t="s">
        <v>105</v>
      </c>
      <c r="CC32" s="198">
        <v>118</v>
      </c>
      <c r="CD32" s="76"/>
      <c r="CG32" s="3"/>
      <c r="CY32" s="133" t="s">
        <v>99</v>
      </c>
      <c r="CZ32" s="194">
        <v>155</v>
      </c>
      <c r="DA32" s="76"/>
      <c r="DB32" s="297" t="s">
        <v>15</v>
      </c>
      <c r="DC32" s="71">
        <v>114</v>
      </c>
      <c r="DD32" s="76"/>
      <c r="DE32" s="3"/>
      <c r="DF32" s="64"/>
      <c r="DG32" s="3"/>
      <c r="DH32" s="3"/>
      <c r="DI32" s="64"/>
      <c r="DJ32" s="3"/>
      <c r="DK32" s="3"/>
      <c r="DL32" s="64"/>
      <c r="DY32" s="568" t="s">
        <v>93</v>
      </c>
      <c r="DZ32" s="545">
        <v>164</v>
      </c>
      <c r="EA32" s="76"/>
      <c r="EB32" s="579" t="s">
        <v>222</v>
      </c>
      <c r="EC32" s="71">
        <v>121</v>
      </c>
      <c r="ED32" s="76"/>
      <c r="EG32" s="3"/>
      <c r="EJ32" s="3"/>
      <c r="EK32" s="3"/>
      <c r="EL32" s="64"/>
      <c r="EY32" s="659" t="s">
        <v>26</v>
      </c>
      <c r="EZ32" s="664">
        <v>159</v>
      </c>
      <c r="FA32" s="76"/>
      <c r="FB32" s="70" t="s">
        <v>118</v>
      </c>
      <c r="FC32" s="663">
        <v>122</v>
      </c>
      <c r="FD32" s="76"/>
      <c r="FJ32" s="76"/>
      <c r="FK32" s="76"/>
      <c r="FL32" s="79"/>
      <c r="FY32" s="841" t="s">
        <v>298</v>
      </c>
      <c r="FZ32" s="850">
        <v>164</v>
      </c>
      <c r="GB32" s="848" t="s">
        <v>36</v>
      </c>
      <c r="GC32" s="849">
        <v>123</v>
      </c>
    </row>
    <row r="33" spans="2:185" ht="15.75">
      <c r="B33" s="133" t="s">
        <v>82</v>
      </c>
      <c r="C33" s="123">
        <v>205</v>
      </c>
      <c r="Y33" s="184" t="s">
        <v>81</v>
      </c>
      <c r="Z33" s="123">
        <v>155</v>
      </c>
      <c r="AA33" s="77"/>
      <c r="AB33" s="185" t="s">
        <v>96</v>
      </c>
      <c r="AC33" s="198">
        <v>119</v>
      </c>
      <c r="AD33" s="76"/>
      <c r="AY33" s="137" t="s">
        <v>44</v>
      </c>
      <c r="AZ33" s="196">
        <v>153</v>
      </c>
      <c r="BA33" s="77"/>
      <c r="BB33" s="137" t="s">
        <v>105</v>
      </c>
      <c r="BC33" s="196">
        <v>123</v>
      </c>
      <c r="BD33" s="76"/>
      <c r="BG33" s="3"/>
      <c r="BJ33" s="3"/>
      <c r="BK33" s="3"/>
      <c r="BL33" s="3"/>
      <c r="BY33" s="133" t="s">
        <v>81</v>
      </c>
      <c r="BZ33" s="194">
        <v>167</v>
      </c>
      <c r="CA33" s="77"/>
      <c r="CB33" s="186" t="s">
        <v>8</v>
      </c>
      <c r="CC33" s="195">
        <v>119</v>
      </c>
      <c r="CD33" s="76"/>
      <c r="CG33" s="3"/>
      <c r="CY33" s="299" t="s">
        <v>263</v>
      </c>
      <c r="CZ33" s="305">
        <v>153</v>
      </c>
      <c r="DA33" s="77"/>
      <c r="DB33" s="293" t="s">
        <v>105</v>
      </c>
      <c r="DC33" s="308">
        <v>117</v>
      </c>
      <c r="DD33" s="76"/>
      <c r="DE33" s="3"/>
      <c r="DF33" s="64"/>
      <c r="DG33" s="3"/>
      <c r="DH33" s="3"/>
      <c r="DI33" s="64"/>
      <c r="DJ33" s="3"/>
      <c r="DK33" s="3"/>
      <c r="DL33" s="64"/>
      <c r="DY33" s="569" t="s">
        <v>284</v>
      </c>
      <c r="DZ33" s="71">
        <v>163</v>
      </c>
      <c r="EA33" s="77"/>
      <c r="EB33" s="569" t="s">
        <v>97</v>
      </c>
      <c r="EC33" s="71">
        <v>122</v>
      </c>
      <c r="ED33" s="76"/>
      <c r="EG33" s="3"/>
      <c r="EJ33" s="3"/>
      <c r="EK33" s="3"/>
      <c r="EL33" s="64"/>
      <c r="EY33" s="658" t="s">
        <v>18</v>
      </c>
      <c r="EZ33" s="662">
        <v>155</v>
      </c>
      <c r="FA33" s="77"/>
      <c r="FB33" s="70" t="s">
        <v>97</v>
      </c>
      <c r="FC33" s="663">
        <v>123</v>
      </c>
      <c r="FD33" s="76"/>
      <c r="FJ33" s="76"/>
      <c r="FK33" s="76"/>
      <c r="FL33" s="79"/>
      <c r="FY33" s="847" t="s">
        <v>296</v>
      </c>
      <c r="FZ33" s="846">
        <v>163</v>
      </c>
      <c r="GB33" s="841" t="s">
        <v>100</v>
      </c>
      <c r="GC33" s="850">
        <v>124</v>
      </c>
    </row>
    <row r="34" spans="2:185" ht="15.75">
      <c r="B34" s="602" t="s">
        <v>96</v>
      </c>
      <c r="C34" s="545">
        <v>205</v>
      </c>
      <c r="Y34" s="187" t="s">
        <v>32</v>
      </c>
      <c r="Z34" s="48">
        <v>155</v>
      </c>
      <c r="AA34" s="76"/>
      <c r="AB34" s="184" t="s">
        <v>70</v>
      </c>
      <c r="AC34" s="194">
        <v>122</v>
      </c>
      <c r="AD34" s="76"/>
      <c r="AY34" s="217" t="s">
        <v>81</v>
      </c>
      <c r="AZ34" s="196">
        <v>152</v>
      </c>
      <c r="BA34" s="76"/>
      <c r="BB34" s="216" t="s">
        <v>92</v>
      </c>
      <c r="BC34" s="196">
        <v>126</v>
      </c>
      <c r="BD34" s="76"/>
      <c r="BG34" s="3"/>
      <c r="BJ34" s="3"/>
      <c r="BY34" s="188" t="s">
        <v>80</v>
      </c>
      <c r="BZ34" s="196">
        <v>164</v>
      </c>
      <c r="CA34" s="76"/>
      <c r="CB34" s="133" t="s">
        <v>37</v>
      </c>
      <c r="CC34" s="194">
        <v>119</v>
      </c>
      <c r="CD34" s="76"/>
      <c r="CG34" s="3"/>
      <c r="CY34" s="133" t="s">
        <v>81</v>
      </c>
      <c r="CZ34" s="194">
        <v>152</v>
      </c>
      <c r="DA34" s="76"/>
      <c r="DB34" s="293" t="s">
        <v>26</v>
      </c>
      <c r="DC34" s="308">
        <v>118</v>
      </c>
      <c r="DD34" s="76"/>
      <c r="DE34" s="3"/>
      <c r="DF34" s="64"/>
      <c r="DG34" s="3"/>
      <c r="DH34" s="3"/>
      <c r="DI34" s="64"/>
      <c r="DJ34" s="3"/>
      <c r="DK34" s="3"/>
      <c r="DL34" s="64"/>
      <c r="DY34" s="563" t="s">
        <v>81</v>
      </c>
      <c r="DZ34" s="544">
        <v>161</v>
      </c>
      <c r="EA34" s="76"/>
      <c r="EB34" s="569" t="s">
        <v>32</v>
      </c>
      <c r="EC34" s="71">
        <v>123</v>
      </c>
      <c r="ED34" s="76"/>
      <c r="EG34" s="3"/>
      <c r="EJ34" s="3"/>
      <c r="EY34" s="658" t="s">
        <v>81</v>
      </c>
      <c r="EZ34" s="662">
        <v>155</v>
      </c>
      <c r="FA34" s="76"/>
      <c r="FB34" s="660" t="s">
        <v>92</v>
      </c>
      <c r="FC34" s="665">
        <v>123</v>
      </c>
      <c r="FD34" s="76"/>
      <c r="FJ34" s="76"/>
      <c r="FY34" s="844" t="s">
        <v>225</v>
      </c>
      <c r="FZ34" s="846">
        <v>162</v>
      </c>
      <c r="GB34" s="844" t="s">
        <v>34</v>
      </c>
      <c r="GC34" s="846">
        <v>125</v>
      </c>
    </row>
    <row r="35" spans="2:185" ht="15.75">
      <c r="Y35" s="133" t="s">
        <v>18</v>
      </c>
      <c r="Z35" s="123">
        <v>153</v>
      </c>
      <c r="AA35" s="76"/>
      <c r="AB35" s="185" t="s">
        <v>72</v>
      </c>
      <c r="AC35" s="198">
        <v>123</v>
      </c>
      <c r="AD35" s="76"/>
      <c r="AY35" s="216" t="s">
        <v>92</v>
      </c>
      <c r="AZ35" s="196">
        <v>150</v>
      </c>
      <c r="BA35" s="76"/>
      <c r="BB35" s="217" t="s">
        <v>37</v>
      </c>
      <c r="BC35" s="196">
        <v>128</v>
      </c>
      <c r="BD35" s="76"/>
      <c r="BG35" s="3"/>
      <c r="BJ35" s="3"/>
      <c r="BY35" s="186" t="s">
        <v>244</v>
      </c>
      <c r="BZ35" s="195">
        <v>162</v>
      </c>
      <c r="CA35" s="76"/>
      <c r="CB35" s="188" t="s">
        <v>30</v>
      </c>
      <c r="CC35" s="196">
        <v>123</v>
      </c>
      <c r="CD35" s="76"/>
      <c r="CG35" s="3"/>
      <c r="CY35" s="299" t="s">
        <v>94</v>
      </c>
      <c r="CZ35" s="305">
        <v>151</v>
      </c>
      <c r="DA35" s="76"/>
      <c r="DB35" s="295" t="s">
        <v>42</v>
      </c>
      <c r="DC35" s="307">
        <v>118</v>
      </c>
      <c r="DD35" s="76"/>
      <c r="DE35" s="3"/>
      <c r="DF35" s="64"/>
      <c r="DG35" s="3"/>
      <c r="DH35" s="3"/>
      <c r="DI35" s="64"/>
      <c r="DJ35" s="3"/>
      <c r="DK35" s="3"/>
      <c r="DL35" s="64"/>
      <c r="DY35" s="565" t="s">
        <v>225</v>
      </c>
      <c r="DZ35" s="547">
        <v>161</v>
      </c>
      <c r="EA35" s="76"/>
      <c r="EB35" s="568" t="s">
        <v>127</v>
      </c>
      <c r="EC35" s="545">
        <v>123</v>
      </c>
      <c r="ED35" s="76"/>
      <c r="EG35" s="3"/>
      <c r="EJ35" s="3"/>
      <c r="EY35" s="658" t="s">
        <v>99</v>
      </c>
      <c r="EZ35" s="662">
        <v>151</v>
      </c>
      <c r="FA35" s="76"/>
      <c r="FB35" s="657" t="s">
        <v>35</v>
      </c>
      <c r="FC35" s="661">
        <v>127</v>
      </c>
      <c r="FD35" s="76"/>
      <c r="FJ35" s="76"/>
      <c r="FY35" s="844" t="s">
        <v>19</v>
      </c>
      <c r="FZ35" s="846">
        <v>161</v>
      </c>
      <c r="GB35" s="847" t="s">
        <v>28</v>
      </c>
      <c r="GC35" s="846">
        <v>128</v>
      </c>
    </row>
    <row r="36" spans="2:185" ht="15.75">
      <c r="Y36" s="185" t="s">
        <v>93</v>
      </c>
      <c r="Z36" s="124">
        <v>152</v>
      </c>
      <c r="AA36" s="76"/>
      <c r="AB36" s="186" t="s">
        <v>34</v>
      </c>
      <c r="AC36" s="195">
        <v>124</v>
      </c>
      <c r="AD36" s="76"/>
      <c r="AY36" s="136" t="s">
        <v>61</v>
      </c>
      <c r="AZ36" s="196">
        <v>149</v>
      </c>
      <c r="BA36" s="76"/>
      <c r="BB36" s="72" t="s">
        <v>16</v>
      </c>
      <c r="BC36" s="196">
        <v>128</v>
      </c>
      <c r="BD36" s="76"/>
      <c r="BG36" s="3"/>
      <c r="BJ36" s="3"/>
      <c r="BY36" s="135" t="s">
        <v>78</v>
      </c>
      <c r="BZ36" s="195">
        <v>159</v>
      </c>
      <c r="CA36" s="76"/>
      <c r="CB36" s="188" t="s">
        <v>95</v>
      </c>
      <c r="CC36" s="196">
        <v>124</v>
      </c>
      <c r="CD36" s="76"/>
      <c r="CG36" s="3"/>
      <c r="CY36" s="295" t="s">
        <v>42</v>
      </c>
      <c r="CZ36" s="304">
        <v>151</v>
      </c>
      <c r="DA36" s="76"/>
      <c r="DB36" s="133" t="s">
        <v>82</v>
      </c>
      <c r="DC36" s="120">
        <v>118</v>
      </c>
      <c r="DD36" s="76"/>
      <c r="DE36" s="3"/>
      <c r="DF36" s="64"/>
      <c r="DG36" s="3"/>
      <c r="DH36" s="3"/>
      <c r="DI36" s="64"/>
      <c r="DJ36" s="3"/>
      <c r="DK36" s="3"/>
      <c r="DL36" s="64"/>
      <c r="DY36" s="563" t="s">
        <v>37</v>
      </c>
      <c r="DZ36" s="544">
        <v>160</v>
      </c>
      <c r="EA36" s="76"/>
      <c r="EB36" s="563" t="s">
        <v>99</v>
      </c>
      <c r="EC36" s="544">
        <v>124</v>
      </c>
      <c r="ED36" s="76"/>
      <c r="EG36" s="3"/>
      <c r="EJ36" s="3"/>
      <c r="EY36" s="658" t="s">
        <v>9</v>
      </c>
      <c r="EZ36" s="662">
        <v>149</v>
      </c>
      <c r="FA36" s="76"/>
      <c r="FB36" s="658" t="s">
        <v>5</v>
      </c>
      <c r="FC36" s="662">
        <v>127</v>
      </c>
      <c r="FD36" s="76"/>
      <c r="FJ36" s="76"/>
      <c r="FY36" s="844" t="s">
        <v>8</v>
      </c>
      <c r="FZ36" s="846">
        <v>160</v>
      </c>
      <c r="GB36" s="848" t="s">
        <v>18</v>
      </c>
      <c r="GC36" s="849">
        <v>128</v>
      </c>
    </row>
    <row r="37" spans="2:185" ht="15.75">
      <c r="Y37" s="187" t="s">
        <v>123</v>
      </c>
      <c r="Z37" s="48">
        <v>146</v>
      </c>
      <c r="AA37" s="76"/>
      <c r="AB37" s="186" t="s">
        <v>35</v>
      </c>
      <c r="AC37" s="195">
        <v>125</v>
      </c>
      <c r="AD37" s="76"/>
      <c r="AY37" s="136" t="s">
        <v>19</v>
      </c>
      <c r="AZ37" s="196">
        <v>145</v>
      </c>
      <c r="BA37" s="76"/>
      <c r="BB37" s="72" t="s">
        <v>220</v>
      </c>
      <c r="BC37" s="196">
        <v>129</v>
      </c>
      <c r="BD37" s="76"/>
      <c r="BG37" s="3"/>
      <c r="BJ37" s="3"/>
      <c r="BY37" s="133" t="s">
        <v>18</v>
      </c>
      <c r="BZ37" s="194">
        <v>158</v>
      </c>
      <c r="CA37" s="76"/>
      <c r="CB37" s="135" t="s">
        <v>78</v>
      </c>
      <c r="CC37" s="195">
        <v>126</v>
      </c>
      <c r="CD37" s="76"/>
      <c r="CG37" s="3"/>
      <c r="CY37" s="133" t="s">
        <v>82</v>
      </c>
      <c r="CZ37" s="194">
        <v>147</v>
      </c>
      <c r="DA37" s="76"/>
      <c r="DB37" s="133" t="s">
        <v>18</v>
      </c>
      <c r="DC37" s="120">
        <v>123</v>
      </c>
      <c r="DD37" s="76"/>
      <c r="DE37" s="3"/>
      <c r="DF37" s="64"/>
      <c r="DG37" s="3"/>
      <c r="DH37" s="3"/>
      <c r="DI37" s="64"/>
      <c r="DJ37" s="3"/>
      <c r="DK37" s="3"/>
      <c r="DL37" s="64"/>
      <c r="DY37" s="567" t="s">
        <v>217</v>
      </c>
      <c r="DZ37" s="546">
        <v>158</v>
      </c>
      <c r="EA37" s="76"/>
      <c r="EB37" s="563" t="s">
        <v>18</v>
      </c>
      <c r="EC37" s="544">
        <v>126</v>
      </c>
      <c r="ED37" s="76"/>
      <c r="EG37" s="3"/>
      <c r="EJ37" s="3"/>
      <c r="EY37" s="658" t="s">
        <v>291</v>
      </c>
      <c r="EZ37" s="662">
        <v>149</v>
      </c>
      <c r="FA37" s="76"/>
      <c r="FB37" s="658" t="s">
        <v>18</v>
      </c>
      <c r="FC37" s="662">
        <v>127</v>
      </c>
      <c r="FD37" s="76"/>
      <c r="FJ37" s="76"/>
      <c r="FY37" s="840" t="s">
        <v>32</v>
      </c>
      <c r="FZ37" s="48">
        <v>160</v>
      </c>
      <c r="GB37" s="840" t="s">
        <v>222</v>
      </c>
      <c r="GC37" s="48">
        <v>128</v>
      </c>
    </row>
    <row r="38" spans="2:185" ht="15.75">
      <c r="Y38" s="184" t="s">
        <v>70</v>
      </c>
      <c r="Z38" s="123">
        <v>144</v>
      </c>
      <c r="AA38" s="76"/>
      <c r="AB38" s="187" t="s">
        <v>16</v>
      </c>
      <c r="AC38" s="92">
        <v>126</v>
      </c>
      <c r="AD38" s="76"/>
      <c r="AY38" s="72" t="s">
        <v>32</v>
      </c>
      <c r="AZ38" s="196">
        <v>145</v>
      </c>
      <c r="BA38" s="76"/>
      <c r="BB38" s="216" t="s">
        <v>67</v>
      </c>
      <c r="BC38" s="196">
        <v>131</v>
      </c>
      <c r="BD38" s="76"/>
      <c r="BG38" s="3"/>
      <c r="BJ38" s="3"/>
      <c r="BY38" s="133" t="s">
        <v>99</v>
      </c>
      <c r="BZ38" s="194">
        <v>154</v>
      </c>
      <c r="CA38" s="76"/>
      <c r="CB38" s="133" t="s">
        <v>5</v>
      </c>
      <c r="CC38" s="194">
        <v>127</v>
      </c>
      <c r="CD38" s="76"/>
      <c r="CG38" s="3"/>
      <c r="CY38" s="293" t="s">
        <v>105</v>
      </c>
      <c r="CZ38" s="303">
        <v>146</v>
      </c>
      <c r="DA38" s="76"/>
      <c r="DB38" s="293" t="s">
        <v>44</v>
      </c>
      <c r="DC38" s="308">
        <v>124</v>
      </c>
      <c r="DD38" s="76"/>
      <c r="DE38" s="3"/>
      <c r="DF38" s="64"/>
      <c r="DG38" s="3"/>
      <c r="DH38" s="3"/>
      <c r="DI38" s="64"/>
      <c r="DJ38" s="3"/>
      <c r="DK38" s="3"/>
      <c r="DL38" s="64"/>
      <c r="DY38" s="568" t="s">
        <v>105</v>
      </c>
      <c r="DZ38" s="545">
        <v>154</v>
      </c>
      <c r="EA38" s="76"/>
      <c r="EB38" s="568" t="s">
        <v>105</v>
      </c>
      <c r="EC38" s="545">
        <v>127</v>
      </c>
      <c r="ED38" s="76"/>
      <c r="EG38" s="3"/>
      <c r="EJ38" s="3"/>
      <c r="EY38" s="657" t="s">
        <v>19</v>
      </c>
      <c r="EZ38" s="661">
        <v>148</v>
      </c>
      <c r="FA38" s="76"/>
      <c r="FB38" s="657" t="s">
        <v>34</v>
      </c>
      <c r="FC38" s="661">
        <v>132</v>
      </c>
      <c r="FD38" s="76"/>
      <c r="FJ38" s="76"/>
      <c r="FY38" s="841" t="s">
        <v>106</v>
      </c>
      <c r="FZ38" s="850">
        <v>158</v>
      </c>
      <c r="GB38" s="840" t="s">
        <v>220</v>
      </c>
      <c r="GC38" s="48">
        <v>132</v>
      </c>
    </row>
    <row r="39" spans="2:185" ht="15.75">
      <c r="Y39" s="186" t="s">
        <v>8</v>
      </c>
      <c r="Z39" s="122">
        <v>143</v>
      </c>
      <c r="AA39" s="76"/>
      <c r="AB39" s="184" t="s">
        <v>82</v>
      </c>
      <c r="AC39" s="194">
        <v>127</v>
      </c>
      <c r="AD39" s="76"/>
      <c r="AY39" s="72" t="s">
        <v>220</v>
      </c>
      <c r="AZ39" s="196">
        <v>144</v>
      </c>
      <c r="BA39" s="76"/>
      <c r="BB39" s="217" t="s">
        <v>10</v>
      </c>
      <c r="BC39" s="196">
        <v>132</v>
      </c>
      <c r="BD39" s="76"/>
      <c r="BG39" s="3"/>
      <c r="BJ39" s="3"/>
      <c r="BY39" s="133" t="s">
        <v>37</v>
      </c>
      <c r="BZ39" s="194">
        <v>153</v>
      </c>
      <c r="CA39" s="76"/>
      <c r="CB39" s="132" t="s">
        <v>67</v>
      </c>
      <c r="CC39" s="196">
        <v>130</v>
      </c>
      <c r="CD39" s="76"/>
      <c r="CG39" s="3"/>
      <c r="CY39" s="299" t="s">
        <v>95</v>
      </c>
      <c r="CZ39" s="305">
        <v>144</v>
      </c>
      <c r="DA39" s="76"/>
      <c r="DB39" s="295" t="s">
        <v>8</v>
      </c>
      <c r="DC39" s="307">
        <v>124</v>
      </c>
      <c r="DD39" s="76"/>
      <c r="DE39" s="3"/>
      <c r="DF39" s="64"/>
      <c r="DG39" s="3"/>
      <c r="DH39" s="3"/>
      <c r="DI39" s="64"/>
      <c r="DJ39" s="3"/>
      <c r="DK39" s="3"/>
      <c r="DL39" s="64"/>
      <c r="DY39" s="567" t="s">
        <v>79</v>
      </c>
      <c r="DZ39" s="546">
        <v>150</v>
      </c>
      <c r="EA39" s="76"/>
      <c r="EB39" s="567" t="s">
        <v>95</v>
      </c>
      <c r="EC39" s="546">
        <v>127</v>
      </c>
      <c r="ED39" s="76"/>
      <c r="EG39" s="3"/>
      <c r="EJ39" s="3"/>
      <c r="EY39" s="660" t="s">
        <v>29</v>
      </c>
      <c r="EZ39" s="665">
        <v>147</v>
      </c>
      <c r="FA39" s="76"/>
      <c r="FB39" s="70" t="s">
        <v>220</v>
      </c>
      <c r="FC39" s="663">
        <v>132</v>
      </c>
      <c r="FD39" s="76"/>
      <c r="FJ39" s="76"/>
      <c r="FY39" s="848" t="s">
        <v>9</v>
      </c>
      <c r="FZ39" s="849">
        <v>156</v>
      </c>
      <c r="GB39" s="847" t="s">
        <v>67</v>
      </c>
      <c r="GC39" s="846">
        <v>134</v>
      </c>
    </row>
    <row r="40" spans="2:185" ht="15.75">
      <c r="Y40" s="70" t="s">
        <v>118</v>
      </c>
      <c r="Z40" s="48">
        <v>141</v>
      </c>
      <c r="AA40" s="76"/>
      <c r="AB40" s="184" t="s">
        <v>10</v>
      </c>
      <c r="AC40" s="194">
        <v>128</v>
      </c>
      <c r="AD40" s="76"/>
      <c r="AY40" s="216" t="s">
        <v>30</v>
      </c>
      <c r="AZ40" s="196">
        <v>141</v>
      </c>
      <c r="BA40" s="76"/>
      <c r="BB40" s="216" t="s">
        <v>80</v>
      </c>
      <c r="BC40" s="196">
        <v>135</v>
      </c>
      <c r="BD40" s="76"/>
      <c r="BG40" s="3"/>
      <c r="BJ40" s="3"/>
      <c r="BY40" s="70" t="s">
        <v>21</v>
      </c>
      <c r="BZ40" s="92">
        <v>150</v>
      </c>
      <c r="CA40" s="76"/>
      <c r="CB40" s="70" t="s">
        <v>220</v>
      </c>
      <c r="CC40" s="92">
        <v>131</v>
      </c>
      <c r="CD40" s="76"/>
      <c r="CG40" s="3"/>
      <c r="CY40" s="295" t="s">
        <v>61</v>
      </c>
      <c r="CZ40" s="304">
        <v>144</v>
      </c>
      <c r="DA40" s="76"/>
      <c r="DB40" s="133" t="s">
        <v>37</v>
      </c>
      <c r="DC40" s="120">
        <v>124</v>
      </c>
      <c r="DD40" s="76"/>
      <c r="DE40" s="3"/>
      <c r="DF40" s="64"/>
      <c r="DG40" s="3"/>
      <c r="DH40" s="3"/>
      <c r="DI40" s="64"/>
      <c r="DJ40" s="3"/>
      <c r="DK40" s="3"/>
      <c r="DL40" s="64"/>
      <c r="DY40" s="569" t="s">
        <v>224</v>
      </c>
      <c r="DZ40" s="71">
        <v>149</v>
      </c>
      <c r="EA40" s="76"/>
      <c r="EB40" s="563" t="s">
        <v>81</v>
      </c>
      <c r="EC40" s="544">
        <v>128</v>
      </c>
      <c r="ED40" s="76"/>
      <c r="EG40" s="3"/>
      <c r="EJ40" s="3"/>
      <c r="EY40" s="657" t="s">
        <v>8</v>
      </c>
      <c r="EZ40" s="661">
        <v>146</v>
      </c>
      <c r="FA40" s="76"/>
      <c r="FB40" s="70" t="s">
        <v>16</v>
      </c>
      <c r="FC40" s="663">
        <v>134</v>
      </c>
      <c r="FD40" s="76"/>
      <c r="FJ40" s="76"/>
      <c r="FY40" s="844" t="s">
        <v>297</v>
      </c>
      <c r="FZ40" s="846">
        <v>154</v>
      </c>
      <c r="GB40" s="847" t="s">
        <v>68</v>
      </c>
      <c r="GC40" s="846">
        <v>135</v>
      </c>
    </row>
    <row r="41" spans="2:185" ht="15.75">
      <c r="Y41" s="185" t="s">
        <v>106</v>
      </c>
      <c r="Z41" s="124">
        <v>141</v>
      </c>
      <c r="AA41" s="76"/>
      <c r="AB41" s="189" t="s">
        <v>97</v>
      </c>
      <c r="AC41" s="92">
        <v>128</v>
      </c>
      <c r="AD41" s="76"/>
      <c r="AY41" s="217" t="s">
        <v>99</v>
      </c>
      <c r="AZ41" s="196">
        <v>141</v>
      </c>
      <c r="BA41" s="76"/>
      <c r="BB41" s="217" t="s">
        <v>82</v>
      </c>
      <c r="BC41" s="196">
        <v>138</v>
      </c>
      <c r="BD41" s="76"/>
      <c r="BG41" s="3"/>
      <c r="BJ41" s="3"/>
      <c r="BY41" s="134" t="s">
        <v>98</v>
      </c>
      <c r="BZ41" s="198">
        <v>148</v>
      </c>
      <c r="CA41" s="76"/>
      <c r="CB41" s="186" t="s">
        <v>244</v>
      </c>
      <c r="CC41" s="195">
        <v>135</v>
      </c>
      <c r="CD41" s="76"/>
      <c r="CG41" s="3"/>
      <c r="CY41" s="297" t="s">
        <v>15</v>
      </c>
      <c r="CZ41" s="197">
        <v>143</v>
      </c>
      <c r="DA41" s="76"/>
      <c r="DB41" s="133" t="s">
        <v>81</v>
      </c>
      <c r="DC41" s="120">
        <v>125</v>
      </c>
      <c r="DD41" s="76"/>
      <c r="DE41" s="3"/>
      <c r="DF41" s="64"/>
      <c r="DG41" s="3"/>
      <c r="DH41" s="3"/>
      <c r="DI41" s="64"/>
      <c r="DJ41" s="3"/>
      <c r="DK41" s="3"/>
      <c r="DL41" s="64"/>
      <c r="DY41" s="565" t="s">
        <v>125</v>
      </c>
      <c r="DZ41" s="547">
        <v>149</v>
      </c>
      <c r="EA41" s="76"/>
      <c r="EB41" s="567" t="s">
        <v>28</v>
      </c>
      <c r="EC41" s="546">
        <v>128</v>
      </c>
      <c r="ED41" s="76"/>
      <c r="EG41" s="3"/>
      <c r="EJ41" s="3"/>
      <c r="EY41" s="70" t="s">
        <v>32</v>
      </c>
      <c r="EZ41" s="663">
        <v>145</v>
      </c>
      <c r="FA41" s="76"/>
      <c r="FB41" s="659" t="s">
        <v>44</v>
      </c>
      <c r="FC41" s="664">
        <v>134</v>
      </c>
      <c r="FD41" s="76"/>
      <c r="FJ41" s="76"/>
      <c r="FY41" s="847" t="s">
        <v>124</v>
      </c>
      <c r="FZ41" s="846">
        <v>150</v>
      </c>
      <c r="GB41" s="848" t="s">
        <v>82</v>
      </c>
      <c r="GC41" s="849">
        <v>138</v>
      </c>
    </row>
    <row r="42" spans="2:185" ht="15.75">
      <c r="Y42" s="188" t="s">
        <v>30</v>
      </c>
      <c r="Z42" s="125">
        <v>140</v>
      </c>
      <c r="AA42" s="76"/>
      <c r="AB42" s="185" t="s">
        <v>60</v>
      </c>
      <c r="AC42" s="198">
        <v>128</v>
      </c>
      <c r="AD42" s="76"/>
      <c r="AY42" s="137" t="s">
        <v>14</v>
      </c>
      <c r="AZ42" s="196">
        <v>141</v>
      </c>
      <c r="BA42" s="76"/>
      <c r="BB42" s="72" t="s">
        <v>226</v>
      </c>
      <c r="BC42" s="196">
        <v>139</v>
      </c>
      <c r="BD42" s="76"/>
      <c r="BG42" s="3"/>
      <c r="BJ42" s="3"/>
      <c r="BY42" s="132" t="s">
        <v>79</v>
      </c>
      <c r="BZ42" s="196">
        <v>147</v>
      </c>
      <c r="CA42" s="76"/>
      <c r="CB42" s="70" t="s">
        <v>2</v>
      </c>
      <c r="CC42" s="92">
        <v>135</v>
      </c>
      <c r="CD42" s="76"/>
      <c r="CG42" s="3"/>
      <c r="CY42" s="297" t="s">
        <v>224</v>
      </c>
      <c r="CZ42" s="197">
        <v>140</v>
      </c>
      <c r="DA42" s="76"/>
      <c r="DB42" s="299" t="s">
        <v>67</v>
      </c>
      <c r="DC42" s="306">
        <v>131</v>
      </c>
      <c r="DD42" s="76"/>
      <c r="DE42" s="3"/>
      <c r="DF42" s="64"/>
      <c r="DG42" s="3"/>
      <c r="DH42" s="3"/>
      <c r="DI42" s="64"/>
      <c r="DJ42" s="3"/>
      <c r="DK42" s="3"/>
      <c r="DL42" s="64"/>
      <c r="DY42" s="568" t="s">
        <v>14</v>
      </c>
      <c r="DZ42" s="545">
        <v>146</v>
      </c>
      <c r="EA42" s="76"/>
      <c r="EB42" s="567" t="s">
        <v>68</v>
      </c>
      <c r="EC42" s="546">
        <v>128</v>
      </c>
      <c r="ED42" s="76"/>
      <c r="EG42" s="3"/>
      <c r="EJ42" s="3"/>
      <c r="EY42" s="657" t="s">
        <v>77</v>
      </c>
      <c r="EZ42" s="661">
        <v>144</v>
      </c>
      <c r="FA42" s="76"/>
      <c r="FB42" s="659" t="s">
        <v>60</v>
      </c>
      <c r="FC42" s="664">
        <v>135</v>
      </c>
      <c r="FD42" s="76"/>
      <c r="FJ42" s="76"/>
      <c r="FY42" s="848" t="s">
        <v>70</v>
      </c>
      <c r="FZ42" s="849">
        <v>150</v>
      </c>
      <c r="GB42" s="840" t="s">
        <v>97</v>
      </c>
      <c r="GC42" s="48">
        <v>141</v>
      </c>
    </row>
    <row r="43" spans="2:185" ht="15.75">
      <c r="Y43" s="188" t="s">
        <v>29</v>
      </c>
      <c r="Z43" s="125">
        <v>140</v>
      </c>
      <c r="AA43" s="77"/>
      <c r="AB43" s="186" t="s">
        <v>27</v>
      </c>
      <c r="AC43" s="195">
        <v>133</v>
      </c>
      <c r="AD43" s="76"/>
      <c r="AY43" s="216" t="s">
        <v>117</v>
      </c>
      <c r="AZ43" s="196">
        <v>139</v>
      </c>
      <c r="BA43" s="77"/>
      <c r="BB43" s="137" t="s">
        <v>60</v>
      </c>
      <c r="BC43" s="196">
        <v>139</v>
      </c>
      <c r="BD43" s="76"/>
      <c r="BG43" s="3"/>
      <c r="BJ43" s="3"/>
      <c r="BY43" s="188" t="s">
        <v>30</v>
      </c>
      <c r="BZ43" s="196">
        <v>147</v>
      </c>
      <c r="CA43" s="77"/>
      <c r="CB43" s="134" t="s">
        <v>100</v>
      </c>
      <c r="CC43" s="198">
        <v>135</v>
      </c>
      <c r="CD43" s="76"/>
      <c r="CG43" s="3"/>
      <c r="CY43" s="293" t="s">
        <v>127</v>
      </c>
      <c r="CZ43" s="303">
        <v>135</v>
      </c>
      <c r="DA43" s="77"/>
      <c r="DB43" s="295" t="s">
        <v>35</v>
      </c>
      <c r="DC43" s="307">
        <v>131</v>
      </c>
      <c r="DD43" s="76"/>
      <c r="DE43" s="3"/>
      <c r="DF43" s="64"/>
      <c r="DG43" s="3"/>
      <c r="DH43" s="3"/>
      <c r="DI43" s="64"/>
      <c r="DJ43" s="3"/>
      <c r="DK43" s="3"/>
      <c r="DL43" s="64"/>
      <c r="DY43" s="563" t="s">
        <v>99</v>
      </c>
      <c r="DZ43" s="544">
        <v>143</v>
      </c>
      <c r="EA43" s="77"/>
      <c r="EB43" s="565" t="s">
        <v>3</v>
      </c>
      <c r="EC43" s="547">
        <v>128</v>
      </c>
      <c r="ED43" s="76"/>
      <c r="EG43" s="3"/>
      <c r="EJ43" s="3"/>
      <c r="EY43" s="70" t="s">
        <v>97</v>
      </c>
      <c r="EZ43" s="663">
        <v>142</v>
      </c>
      <c r="FA43" s="77"/>
      <c r="FB43" s="660" t="s">
        <v>66</v>
      </c>
      <c r="FC43" s="665">
        <v>138</v>
      </c>
      <c r="FD43" s="76"/>
      <c r="FJ43" s="76"/>
      <c r="FY43" s="848" t="s">
        <v>99</v>
      </c>
      <c r="FZ43" s="849">
        <v>148</v>
      </c>
      <c r="GB43" s="844" t="s">
        <v>225</v>
      </c>
      <c r="GC43" s="846">
        <v>143</v>
      </c>
    </row>
    <row r="44" spans="2:185" ht="15.75">
      <c r="Y44" s="132" t="s">
        <v>218</v>
      </c>
      <c r="Z44" s="125">
        <v>139</v>
      </c>
      <c r="AA44" s="76"/>
      <c r="AB44" s="199" t="s">
        <v>61</v>
      </c>
      <c r="AC44" s="195">
        <v>133</v>
      </c>
      <c r="AD44" s="76"/>
      <c r="AY44" s="217" t="s">
        <v>221</v>
      </c>
      <c r="AZ44" s="196">
        <v>139</v>
      </c>
      <c r="BA44" s="76"/>
      <c r="BB44" s="216" t="s">
        <v>68</v>
      </c>
      <c r="BC44" s="196">
        <v>144</v>
      </c>
      <c r="BD44" s="76"/>
      <c r="BG44" s="3"/>
      <c r="BJ44" s="3"/>
      <c r="BY44" s="188" t="s">
        <v>217</v>
      </c>
      <c r="BZ44" s="196">
        <v>135</v>
      </c>
      <c r="CA44" s="76"/>
      <c r="CB44" s="134" t="s">
        <v>96</v>
      </c>
      <c r="CC44" s="198">
        <v>136</v>
      </c>
      <c r="CD44" s="76"/>
      <c r="CG44" s="3"/>
      <c r="CY44" s="297" t="s">
        <v>118</v>
      </c>
      <c r="CZ44" s="197">
        <v>131</v>
      </c>
      <c r="DA44" s="76"/>
      <c r="DB44" s="133" t="s">
        <v>10</v>
      </c>
      <c r="DC44" s="120">
        <v>131</v>
      </c>
      <c r="DD44" s="76"/>
      <c r="DE44" s="3"/>
      <c r="DF44" s="64"/>
      <c r="DG44" s="3"/>
      <c r="DH44" s="3"/>
      <c r="DI44" s="64"/>
      <c r="DJ44" s="3"/>
      <c r="DK44" s="3"/>
      <c r="DL44" s="64"/>
      <c r="DY44" s="565" t="s">
        <v>8</v>
      </c>
      <c r="DZ44" s="547">
        <v>141</v>
      </c>
      <c r="EA44" s="76"/>
      <c r="EB44" s="568" t="s">
        <v>106</v>
      </c>
      <c r="EC44" s="545">
        <v>142</v>
      </c>
      <c r="ED44" s="76"/>
      <c r="EG44" s="3"/>
      <c r="EJ44" s="3"/>
      <c r="EY44" s="660" t="s">
        <v>293</v>
      </c>
      <c r="EZ44" s="665">
        <v>140</v>
      </c>
      <c r="FA44" s="76"/>
      <c r="FB44" s="659" t="s">
        <v>105</v>
      </c>
      <c r="FC44" s="664">
        <v>141</v>
      </c>
      <c r="FD44" s="76"/>
      <c r="FJ44" s="76"/>
      <c r="FY44" s="840" t="s">
        <v>118</v>
      </c>
      <c r="FZ44" s="48">
        <v>144</v>
      </c>
      <c r="GB44" s="841" t="s">
        <v>96</v>
      </c>
      <c r="GC44" s="850">
        <v>144</v>
      </c>
    </row>
    <row r="45" spans="2:185" ht="15.75">
      <c r="Y45" s="185" t="s">
        <v>104</v>
      </c>
      <c r="Z45" s="124">
        <v>138</v>
      </c>
      <c r="AA45" s="76"/>
      <c r="AB45" s="184" t="s">
        <v>5</v>
      </c>
      <c r="AC45" s="194">
        <v>133</v>
      </c>
      <c r="AD45" s="76"/>
      <c r="AY45" s="137" t="s">
        <v>26</v>
      </c>
      <c r="AZ45" s="196">
        <v>139</v>
      </c>
      <c r="BA45" s="76"/>
      <c r="BB45" s="216" t="s">
        <v>66</v>
      </c>
      <c r="BC45" s="196">
        <v>147</v>
      </c>
      <c r="BD45" s="76"/>
      <c r="BG45" s="3"/>
      <c r="BJ45" s="3"/>
      <c r="BY45" s="134" t="s">
        <v>104</v>
      </c>
      <c r="BZ45" s="198">
        <v>134</v>
      </c>
      <c r="CA45" s="76"/>
      <c r="CB45" s="135" t="s">
        <v>34</v>
      </c>
      <c r="CC45" s="195">
        <v>139</v>
      </c>
      <c r="CD45" s="76"/>
      <c r="CG45" s="3"/>
      <c r="CY45" s="297" t="s">
        <v>101</v>
      </c>
      <c r="CZ45" s="197">
        <v>131</v>
      </c>
      <c r="DA45" s="76"/>
      <c r="DB45" s="299" t="s">
        <v>124</v>
      </c>
      <c r="DC45" s="306">
        <v>136</v>
      </c>
      <c r="DD45" s="76"/>
      <c r="DE45" s="3"/>
      <c r="DF45" s="64"/>
      <c r="DG45" s="3"/>
      <c r="DH45" s="3"/>
      <c r="DI45" s="64"/>
      <c r="DJ45" s="3"/>
      <c r="DK45" s="3"/>
      <c r="DL45" s="64"/>
      <c r="DY45" s="567" t="s">
        <v>287</v>
      </c>
      <c r="DZ45" s="546">
        <v>140</v>
      </c>
      <c r="EA45" s="76"/>
      <c r="EB45" s="565" t="s">
        <v>34</v>
      </c>
      <c r="EC45" s="547">
        <v>143</v>
      </c>
      <c r="ED45" s="76"/>
      <c r="EG45" s="3"/>
      <c r="EJ45" s="3"/>
      <c r="EY45" s="657" t="s">
        <v>46</v>
      </c>
      <c r="EZ45" s="661">
        <v>139</v>
      </c>
      <c r="FA45" s="76"/>
      <c r="FB45" s="660" t="s">
        <v>68</v>
      </c>
      <c r="FC45" s="665">
        <v>141</v>
      </c>
      <c r="FD45" s="76"/>
      <c r="FJ45" s="76"/>
      <c r="FY45" s="848" t="s">
        <v>18</v>
      </c>
      <c r="FZ45" s="849">
        <v>143</v>
      </c>
      <c r="GB45" s="841" t="s">
        <v>60</v>
      </c>
      <c r="GC45" s="850">
        <v>144</v>
      </c>
    </row>
    <row r="46" spans="2:185" ht="15.75">
      <c r="Y46" s="186" t="s">
        <v>46</v>
      </c>
      <c r="Z46" s="122">
        <v>137</v>
      </c>
      <c r="AA46" s="76"/>
      <c r="AB46" s="186" t="s">
        <v>78</v>
      </c>
      <c r="AC46" s="195">
        <v>134</v>
      </c>
      <c r="AD46" s="76"/>
      <c r="AY46" s="136" t="s">
        <v>13</v>
      </c>
      <c r="AZ46" s="196">
        <v>136</v>
      </c>
      <c r="BA46" s="76"/>
      <c r="BB46" s="72" t="s">
        <v>222</v>
      </c>
      <c r="BC46" s="196">
        <v>147</v>
      </c>
      <c r="BD46" s="76"/>
      <c r="BG46" s="3"/>
      <c r="BJ46" s="3"/>
      <c r="BY46" s="70" t="s">
        <v>224</v>
      </c>
      <c r="BZ46" s="92">
        <v>131</v>
      </c>
      <c r="CA46" s="76"/>
      <c r="CB46" s="188" t="s">
        <v>66</v>
      </c>
      <c r="CC46" s="196">
        <v>141</v>
      </c>
      <c r="CD46" s="76"/>
      <c r="CG46" s="3"/>
      <c r="CY46" s="293" t="s">
        <v>104</v>
      </c>
      <c r="CZ46" s="303">
        <v>131</v>
      </c>
      <c r="DA46" s="76"/>
      <c r="DB46" s="293" t="s">
        <v>262</v>
      </c>
      <c r="DC46" s="308">
        <v>137</v>
      </c>
      <c r="DD46" s="76"/>
      <c r="DE46" s="3"/>
      <c r="DF46" s="64"/>
      <c r="DG46" s="3"/>
      <c r="DH46" s="3"/>
      <c r="DI46" s="64"/>
      <c r="DJ46" s="3"/>
      <c r="DK46" s="3"/>
      <c r="DL46" s="64"/>
      <c r="DY46" s="565" t="s">
        <v>283</v>
      </c>
      <c r="DZ46" s="547">
        <v>140</v>
      </c>
      <c r="EA46" s="76"/>
      <c r="EB46" s="568" t="s">
        <v>100</v>
      </c>
      <c r="EC46" s="545">
        <v>144</v>
      </c>
      <c r="ED46" s="76"/>
      <c r="EG46" s="3"/>
      <c r="EJ46" s="3"/>
      <c r="EY46" s="657" t="s">
        <v>61</v>
      </c>
      <c r="EZ46" s="661">
        <v>138</v>
      </c>
      <c r="FA46" s="76"/>
      <c r="FB46" s="658" t="s">
        <v>82</v>
      </c>
      <c r="FC46" s="662">
        <v>145</v>
      </c>
      <c r="FD46" s="76"/>
      <c r="FJ46" s="76"/>
      <c r="FY46" s="848" t="s">
        <v>37</v>
      </c>
      <c r="FZ46" s="849">
        <v>137</v>
      </c>
      <c r="GB46" s="841" t="s">
        <v>298</v>
      </c>
      <c r="GC46" s="850">
        <v>145</v>
      </c>
    </row>
    <row r="47" spans="2:185" ht="15.75">
      <c r="Y47" s="187" t="s">
        <v>15</v>
      </c>
      <c r="Z47" s="48">
        <v>135</v>
      </c>
      <c r="AA47" s="76"/>
      <c r="AB47" s="184" t="s">
        <v>81</v>
      </c>
      <c r="AC47" s="194">
        <v>139</v>
      </c>
      <c r="AD47" s="76"/>
      <c r="AY47" s="72" t="s">
        <v>73</v>
      </c>
      <c r="AZ47" s="196">
        <v>136</v>
      </c>
      <c r="BA47" s="76"/>
      <c r="BB47" s="136" t="s">
        <v>3</v>
      </c>
      <c r="BC47" s="196">
        <v>150</v>
      </c>
      <c r="BD47" s="76"/>
      <c r="BG47" s="3"/>
      <c r="BJ47" s="3"/>
      <c r="BY47" s="135" t="s">
        <v>19</v>
      </c>
      <c r="BZ47" s="195">
        <v>126</v>
      </c>
      <c r="CA47" s="76"/>
      <c r="CB47" s="186" t="s">
        <v>3</v>
      </c>
      <c r="CC47" s="195">
        <v>143</v>
      </c>
      <c r="CD47" s="76"/>
      <c r="CG47" s="3"/>
      <c r="CY47" s="299" t="s">
        <v>30</v>
      </c>
      <c r="CZ47" s="305">
        <v>130</v>
      </c>
      <c r="DA47" s="76"/>
      <c r="DB47" s="133" t="s">
        <v>5</v>
      </c>
      <c r="DC47" s="120">
        <v>137</v>
      </c>
      <c r="DD47" s="76"/>
      <c r="DE47" s="3"/>
      <c r="DF47" s="64"/>
      <c r="DG47" s="3"/>
      <c r="DH47" s="3"/>
      <c r="DI47" s="64"/>
      <c r="DJ47" s="3"/>
      <c r="DK47" s="3"/>
      <c r="DL47" s="64"/>
      <c r="DY47" s="569" t="s">
        <v>15</v>
      </c>
      <c r="DZ47" s="71">
        <v>139</v>
      </c>
      <c r="EA47" s="76"/>
      <c r="EB47" s="569" t="s">
        <v>2</v>
      </c>
      <c r="EC47" s="71">
        <v>145</v>
      </c>
      <c r="ED47" s="76"/>
      <c r="EG47" s="3"/>
      <c r="EJ47" s="3"/>
      <c r="EY47" s="70" t="s">
        <v>224</v>
      </c>
      <c r="EZ47" s="663">
        <v>138</v>
      </c>
      <c r="FA47" s="76"/>
      <c r="FB47" s="70" t="s">
        <v>222</v>
      </c>
      <c r="FC47" s="663">
        <v>145</v>
      </c>
      <c r="FD47" s="76"/>
      <c r="FJ47" s="76"/>
      <c r="FY47" s="840" t="s">
        <v>224</v>
      </c>
      <c r="FZ47" s="48">
        <v>137</v>
      </c>
      <c r="GB47" s="844" t="s">
        <v>223</v>
      </c>
      <c r="GC47" s="846">
        <v>147</v>
      </c>
    </row>
    <row r="48" spans="2:185" ht="15.75">
      <c r="Y48" s="185" t="s">
        <v>65</v>
      </c>
      <c r="Z48" s="124">
        <v>134</v>
      </c>
      <c r="AA48" s="76"/>
      <c r="AB48" s="186" t="s">
        <v>3</v>
      </c>
      <c r="AC48" s="195">
        <v>140</v>
      </c>
      <c r="AD48" s="76"/>
      <c r="AY48" s="216" t="s">
        <v>217</v>
      </c>
      <c r="AZ48" s="196">
        <v>135</v>
      </c>
      <c r="BA48" s="76"/>
      <c r="BB48" s="217" t="s">
        <v>9</v>
      </c>
      <c r="BC48" s="196">
        <v>151</v>
      </c>
      <c r="BD48" s="76"/>
      <c r="BG48" s="3"/>
      <c r="BJ48" s="3"/>
      <c r="BY48" s="134" t="s">
        <v>14</v>
      </c>
      <c r="BZ48" s="198">
        <v>126</v>
      </c>
      <c r="CA48" s="76"/>
      <c r="CB48" s="133" t="s">
        <v>9</v>
      </c>
      <c r="CC48" s="194">
        <v>145</v>
      </c>
      <c r="CD48" s="76"/>
      <c r="CG48" s="3"/>
      <c r="CY48" s="297" t="s">
        <v>69</v>
      </c>
      <c r="CZ48" s="197">
        <v>129</v>
      </c>
      <c r="DA48" s="76"/>
      <c r="DB48" s="295" t="s">
        <v>34</v>
      </c>
      <c r="DC48" s="307">
        <v>138</v>
      </c>
      <c r="DD48" s="76"/>
      <c r="DE48" s="3"/>
      <c r="DF48" s="64"/>
      <c r="DG48" s="3"/>
      <c r="DH48" s="3"/>
      <c r="DI48" s="64"/>
      <c r="DJ48" s="3"/>
      <c r="DK48" s="3"/>
      <c r="DL48" s="64"/>
      <c r="DY48" s="567" t="s">
        <v>30</v>
      </c>
      <c r="DZ48" s="546">
        <v>139</v>
      </c>
      <c r="EA48" s="76"/>
      <c r="EB48" s="569" t="s">
        <v>16</v>
      </c>
      <c r="EC48" s="71">
        <v>145</v>
      </c>
      <c r="ED48" s="76"/>
      <c r="EG48" s="3"/>
      <c r="EJ48" s="3"/>
      <c r="EY48" s="659" t="s">
        <v>104</v>
      </c>
      <c r="EZ48" s="664">
        <v>134</v>
      </c>
      <c r="FA48" s="76"/>
      <c r="FB48" s="657" t="s">
        <v>3</v>
      </c>
      <c r="FC48" s="661">
        <v>146</v>
      </c>
      <c r="FD48" s="76"/>
      <c r="FJ48" s="76"/>
      <c r="FY48" s="841" t="s">
        <v>285</v>
      </c>
      <c r="FZ48" s="850">
        <v>137</v>
      </c>
      <c r="GB48" s="848" t="s">
        <v>5</v>
      </c>
      <c r="GC48" s="849">
        <v>147</v>
      </c>
    </row>
    <row r="49" spans="25:185" ht="15.75">
      <c r="Y49" s="186" t="s">
        <v>19</v>
      </c>
      <c r="Z49" s="122">
        <v>130</v>
      </c>
      <c r="AA49" s="76"/>
      <c r="AB49" s="132" t="s">
        <v>68</v>
      </c>
      <c r="AC49" s="196">
        <v>144</v>
      </c>
      <c r="AD49" s="76"/>
      <c r="AY49" s="136" t="s">
        <v>8</v>
      </c>
      <c r="AZ49" s="196">
        <v>134</v>
      </c>
      <c r="BA49" s="76"/>
      <c r="BB49" s="217" t="s">
        <v>5</v>
      </c>
      <c r="BC49" s="196">
        <v>156</v>
      </c>
      <c r="BD49" s="76"/>
      <c r="BG49" s="3"/>
      <c r="BJ49" s="3"/>
      <c r="BY49" s="134" t="s">
        <v>127</v>
      </c>
      <c r="BZ49" s="198">
        <v>122</v>
      </c>
      <c r="CA49" s="76"/>
      <c r="CB49" s="134" t="s">
        <v>106</v>
      </c>
      <c r="CC49" s="198">
        <v>148</v>
      </c>
      <c r="CD49" s="76"/>
      <c r="CG49" s="3"/>
      <c r="CY49" s="293" t="s">
        <v>93</v>
      </c>
      <c r="CZ49" s="303">
        <v>127</v>
      </c>
      <c r="DB49" s="133" t="s">
        <v>9</v>
      </c>
      <c r="DC49" s="120">
        <v>143</v>
      </c>
      <c r="DY49" s="565" t="s">
        <v>19</v>
      </c>
      <c r="DZ49" s="547">
        <v>136</v>
      </c>
      <c r="EA49" s="76"/>
      <c r="EB49" s="568" t="s">
        <v>60</v>
      </c>
      <c r="EC49" s="545">
        <v>146</v>
      </c>
      <c r="ED49" s="76"/>
      <c r="EG49" s="3"/>
      <c r="EJ49" s="3"/>
      <c r="EY49" s="70" t="s">
        <v>15</v>
      </c>
      <c r="EZ49" s="663">
        <v>133</v>
      </c>
      <c r="FA49" s="76"/>
      <c r="FB49" s="657" t="s">
        <v>244</v>
      </c>
      <c r="FC49" s="661">
        <v>150</v>
      </c>
      <c r="FD49" s="76"/>
      <c r="FJ49" s="76"/>
      <c r="FY49" s="844" t="s">
        <v>77</v>
      </c>
      <c r="FZ49" s="846">
        <v>134</v>
      </c>
      <c r="GB49" s="844" t="s">
        <v>3</v>
      </c>
      <c r="GC49" s="846">
        <v>148</v>
      </c>
    </row>
    <row r="50" spans="25:185" ht="15.75">
      <c r="Y50" s="192" t="s">
        <v>219</v>
      </c>
      <c r="Z50" s="125">
        <v>128</v>
      </c>
      <c r="AA50" s="76"/>
      <c r="AB50" s="188" t="s">
        <v>66</v>
      </c>
      <c r="AC50" s="196">
        <v>148</v>
      </c>
      <c r="AD50" s="76"/>
      <c r="AY50" s="137" t="s">
        <v>104</v>
      </c>
      <c r="AZ50" s="196">
        <v>131</v>
      </c>
      <c r="BA50" s="76"/>
      <c r="BB50" s="72" t="s">
        <v>2</v>
      </c>
      <c r="BC50" s="196">
        <v>156</v>
      </c>
      <c r="BD50" s="76"/>
      <c r="BG50" s="3"/>
      <c r="BJ50" s="3"/>
      <c r="BY50" s="70" t="s">
        <v>15</v>
      </c>
      <c r="BZ50" s="92">
        <v>120</v>
      </c>
      <c r="CA50" s="76"/>
      <c r="CB50" s="70" t="s">
        <v>59</v>
      </c>
      <c r="CC50" s="92">
        <v>151</v>
      </c>
      <c r="CD50" s="76"/>
      <c r="CG50" s="3"/>
      <c r="CY50" s="299" t="s">
        <v>217</v>
      </c>
      <c r="CZ50" s="305">
        <v>126</v>
      </c>
      <c r="DB50" s="297" t="s">
        <v>2</v>
      </c>
      <c r="DC50" s="71">
        <v>145</v>
      </c>
      <c r="DY50" s="568" t="s">
        <v>104</v>
      </c>
      <c r="DZ50" s="545">
        <v>124</v>
      </c>
      <c r="EA50" s="76"/>
      <c r="EB50" s="566" t="s">
        <v>27</v>
      </c>
      <c r="EC50" s="547">
        <v>148</v>
      </c>
      <c r="ED50" s="76"/>
      <c r="EG50" s="3"/>
      <c r="EJ50" s="3"/>
      <c r="EY50" s="659" t="s">
        <v>93</v>
      </c>
      <c r="EZ50" s="664">
        <v>133</v>
      </c>
      <c r="FA50" s="76"/>
      <c r="FB50" s="657" t="s">
        <v>27</v>
      </c>
      <c r="FC50" s="661">
        <v>160</v>
      </c>
      <c r="FD50" s="76"/>
      <c r="FJ50" s="76"/>
      <c r="FY50" s="840" t="s">
        <v>73</v>
      </c>
      <c r="FZ50" s="48">
        <v>132</v>
      </c>
      <c r="GB50" s="840" t="s">
        <v>16</v>
      </c>
      <c r="GC50" s="48">
        <v>149</v>
      </c>
    </row>
    <row r="51" spans="25:185" ht="15.75">
      <c r="Y51" s="187" t="s">
        <v>101</v>
      </c>
      <c r="Z51" s="48">
        <v>127</v>
      </c>
      <c r="AA51" s="76"/>
      <c r="AB51" s="187" t="s">
        <v>2</v>
      </c>
      <c r="AC51" s="92">
        <v>153</v>
      </c>
      <c r="AD51" s="76"/>
      <c r="AY51" s="216" t="s">
        <v>29</v>
      </c>
      <c r="AZ51" s="196">
        <v>123</v>
      </c>
      <c r="BA51" s="76"/>
      <c r="BB51" s="137" t="s">
        <v>100</v>
      </c>
      <c r="BC51" s="196">
        <v>161</v>
      </c>
      <c r="BD51" s="76"/>
      <c r="BG51" s="3"/>
      <c r="BJ51" s="3"/>
      <c r="BY51" s="70" t="s">
        <v>118</v>
      </c>
      <c r="BZ51" s="92">
        <v>119</v>
      </c>
      <c r="CA51" s="76"/>
      <c r="CB51" s="186" t="s">
        <v>27</v>
      </c>
      <c r="CC51" s="195">
        <v>154</v>
      </c>
      <c r="CD51" s="76"/>
      <c r="CG51" s="3"/>
      <c r="CY51" s="299" t="s">
        <v>29</v>
      </c>
      <c r="CZ51" s="305">
        <v>123</v>
      </c>
      <c r="DB51" s="295" t="s">
        <v>225</v>
      </c>
      <c r="DC51" s="307">
        <v>159</v>
      </c>
      <c r="DY51" s="568" t="s">
        <v>285</v>
      </c>
      <c r="DZ51" s="545">
        <v>123</v>
      </c>
      <c r="EA51" s="76"/>
      <c r="EB51" s="563" t="s">
        <v>82</v>
      </c>
      <c r="EC51" s="544">
        <v>154</v>
      </c>
      <c r="ED51" s="76"/>
      <c r="EG51" s="3"/>
      <c r="EJ51" s="3"/>
      <c r="EY51" s="660" t="s">
        <v>92</v>
      </c>
      <c r="EZ51" s="665">
        <v>133</v>
      </c>
      <c r="FA51" s="76"/>
      <c r="FB51" s="659" t="s">
        <v>96</v>
      </c>
      <c r="FC51" s="664">
        <v>160</v>
      </c>
      <c r="FD51" s="76"/>
      <c r="FJ51" s="76"/>
      <c r="FY51" s="847" t="s">
        <v>29</v>
      </c>
      <c r="FZ51" s="846">
        <v>128</v>
      </c>
      <c r="GB51" s="840" t="s">
        <v>2</v>
      </c>
      <c r="GC51" s="48">
        <v>149</v>
      </c>
    </row>
    <row r="52" spans="25:185" ht="15.75">
      <c r="Y52" s="185" t="s">
        <v>14</v>
      </c>
      <c r="Z52" s="124">
        <v>126</v>
      </c>
      <c r="AA52" s="76"/>
      <c r="AB52" s="189" t="s">
        <v>59</v>
      </c>
      <c r="AC52" s="92">
        <v>159</v>
      </c>
      <c r="AD52" s="76"/>
      <c r="AY52" s="72" t="s">
        <v>91</v>
      </c>
      <c r="AZ52" s="196">
        <v>118</v>
      </c>
      <c r="BA52" s="76"/>
      <c r="BB52" s="137" t="s">
        <v>1</v>
      </c>
      <c r="BC52" s="196">
        <v>170</v>
      </c>
      <c r="BD52" s="76"/>
      <c r="BG52" s="3"/>
      <c r="BJ52" s="3"/>
      <c r="BY52" s="132" t="s">
        <v>243</v>
      </c>
      <c r="BZ52" s="196">
        <v>114</v>
      </c>
      <c r="CA52" s="76"/>
      <c r="CB52" s="132" t="s">
        <v>68</v>
      </c>
      <c r="CC52" s="196">
        <v>156</v>
      </c>
      <c r="CD52" s="76"/>
      <c r="CG52" s="3"/>
      <c r="CY52" s="297" t="s">
        <v>91</v>
      </c>
      <c r="CZ52" s="197">
        <v>118</v>
      </c>
      <c r="DB52" s="293" t="s">
        <v>96</v>
      </c>
      <c r="DC52" s="308">
        <v>166</v>
      </c>
      <c r="DY52" s="563" t="s">
        <v>289</v>
      </c>
      <c r="DZ52" s="544">
        <v>119</v>
      </c>
      <c r="EA52" s="76"/>
      <c r="EB52" s="567" t="s">
        <v>67</v>
      </c>
      <c r="EC52" s="546">
        <v>156</v>
      </c>
      <c r="ED52" s="76"/>
      <c r="EG52" s="3"/>
      <c r="EJ52" s="3"/>
      <c r="EY52" s="660" t="s">
        <v>254</v>
      </c>
      <c r="EZ52" s="665">
        <v>128</v>
      </c>
      <c r="FA52" s="76"/>
      <c r="FB52" s="660" t="s">
        <v>67</v>
      </c>
      <c r="FC52" s="665">
        <v>164</v>
      </c>
      <c r="FD52" s="76"/>
      <c r="FJ52" s="76"/>
      <c r="FY52" s="841" t="s">
        <v>127</v>
      </c>
      <c r="FZ52" s="850">
        <v>119</v>
      </c>
      <c r="GB52" s="847" t="s">
        <v>66</v>
      </c>
      <c r="GC52" s="846">
        <v>154</v>
      </c>
    </row>
    <row r="53" spans="25:185" ht="15.75">
      <c r="Y53" s="184" t="s">
        <v>99</v>
      </c>
      <c r="Z53" s="123">
        <v>115</v>
      </c>
      <c r="AA53" s="76"/>
      <c r="AB53" s="184" t="s">
        <v>9</v>
      </c>
      <c r="AC53" s="194">
        <v>165</v>
      </c>
      <c r="AD53" s="76"/>
      <c r="AY53" s="72" t="s">
        <v>101</v>
      </c>
      <c r="AZ53" s="196">
        <v>113</v>
      </c>
      <c r="BA53" s="76"/>
      <c r="BB53" s="136" t="s">
        <v>223</v>
      </c>
      <c r="BC53" s="196">
        <v>172</v>
      </c>
      <c r="BD53" s="76"/>
      <c r="BG53" s="3"/>
      <c r="BJ53" s="3"/>
      <c r="BY53" s="70" t="s">
        <v>69</v>
      </c>
      <c r="BZ53" s="92">
        <v>113</v>
      </c>
      <c r="CA53" s="76"/>
      <c r="CB53" s="133" t="s">
        <v>82</v>
      </c>
      <c r="CC53" s="194">
        <v>159</v>
      </c>
      <c r="CD53" s="76"/>
      <c r="CG53" s="3"/>
      <c r="CY53" s="299" t="s">
        <v>253</v>
      </c>
      <c r="CZ53" s="305">
        <v>109</v>
      </c>
      <c r="DB53" s="295" t="s">
        <v>3</v>
      </c>
      <c r="DC53" s="307">
        <v>168</v>
      </c>
      <c r="DY53" s="567" t="s">
        <v>286</v>
      </c>
      <c r="DZ53" s="553">
        <v>115</v>
      </c>
      <c r="EB53" s="568" t="s">
        <v>96</v>
      </c>
      <c r="EC53" s="552">
        <v>171</v>
      </c>
      <c r="ED53" s="76"/>
      <c r="EG53" s="3"/>
      <c r="EJ53" s="3"/>
      <c r="EY53" s="659" t="s">
        <v>292</v>
      </c>
      <c r="EZ53" s="664">
        <v>82</v>
      </c>
      <c r="FA53" s="76"/>
      <c r="FB53" s="70" t="s">
        <v>2</v>
      </c>
      <c r="FC53" s="663">
        <v>175</v>
      </c>
      <c r="FD53" s="76"/>
      <c r="FJ53" s="76"/>
      <c r="FY53" s="841" t="s">
        <v>292</v>
      </c>
      <c r="FZ53" s="850">
        <v>97</v>
      </c>
      <c r="GB53" s="844" t="s">
        <v>244</v>
      </c>
      <c r="GC53" s="846">
        <v>163</v>
      </c>
    </row>
    <row r="54" spans="25:185" ht="15.75">
      <c r="BD54" s="76"/>
      <c r="BE54" s="3"/>
      <c r="BF54" s="3"/>
      <c r="BG54" s="3"/>
      <c r="BH54" s="3"/>
      <c r="BI54" s="3"/>
      <c r="BJ54" s="3"/>
      <c r="BK54" s="3"/>
      <c r="BL54" s="3"/>
      <c r="BY54" s="99"/>
      <c r="BZ54" s="94"/>
      <c r="CA54" s="76"/>
      <c r="CB54" s="95"/>
      <c r="CC54" s="91"/>
      <c r="CD54" s="76"/>
      <c r="CE54" s="3"/>
      <c r="CF54" s="64"/>
      <c r="CG54" s="3"/>
      <c r="CH54" s="3"/>
      <c r="CI54" s="64"/>
      <c r="CJ54" s="3"/>
      <c r="CK54" s="3"/>
      <c r="CL54" s="64"/>
      <c r="ED54" s="76"/>
      <c r="EG54" s="3"/>
      <c r="EJ54" s="3"/>
      <c r="FD54" s="76"/>
      <c r="FJ54" s="76"/>
    </row>
    <row r="55" spans="25:185" ht="15.75">
      <c r="BD55" s="76"/>
      <c r="BE55" s="3"/>
      <c r="BF55" s="3"/>
      <c r="BG55" s="3"/>
      <c r="BH55" s="3"/>
      <c r="BI55" s="3"/>
      <c r="BJ55" s="3"/>
      <c r="BK55" s="3"/>
      <c r="BL55" s="3"/>
      <c r="BY55" s="97"/>
      <c r="BZ55" s="100"/>
      <c r="CA55" s="76"/>
      <c r="CB55" s="99"/>
      <c r="CC55" s="94"/>
      <c r="CD55" s="76"/>
      <c r="CE55" s="3"/>
      <c r="CF55" s="64"/>
      <c r="CG55" s="3"/>
      <c r="CH55" s="3"/>
      <c r="CI55" s="64"/>
      <c r="CJ55" s="3"/>
      <c r="CK55" s="3"/>
      <c r="CL55" s="64"/>
      <c r="ED55" s="76"/>
      <c r="EG55" s="3"/>
      <c r="EJ55" s="3"/>
      <c r="FD55" s="76"/>
      <c r="FJ55" s="76"/>
    </row>
    <row r="56" spans="25:185" ht="15.75">
      <c r="BD56" s="76"/>
      <c r="BE56" s="3"/>
      <c r="BF56" s="3"/>
      <c r="BG56" s="3"/>
      <c r="BH56" s="3"/>
      <c r="BI56" s="3"/>
      <c r="BJ56" s="3"/>
      <c r="BK56" s="3"/>
      <c r="BL56" s="3"/>
      <c r="BY56" s="95"/>
      <c r="BZ56" s="91"/>
      <c r="CA56" s="76"/>
      <c r="CB56" s="98"/>
      <c r="CC56" s="93"/>
      <c r="CD56" s="76"/>
      <c r="CE56" s="3"/>
      <c r="CF56" s="64"/>
      <c r="CG56" s="3"/>
      <c r="CH56" s="3"/>
      <c r="CI56" s="64"/>
      <c r="CJ56" s="3"/>
      <c r="CK56" s="3"/>
      <c r="CL56" s="64"/>
      <c r="ED56" s="76"/>
      <c r="EG56" s="3"/>
      <c r="EJ56" s="3"/>
      <c r="FD56" s="76"/>
      <c r="FJ56" s="76"/>
    </row>
    <row r="57" spans="25:185" ht="15.75">
      <c r="BD57" s="76"/>
      <c r="BE57" s="3"/>
      <c r="BF57" s="3"/>
      <c r="BG57" s="3"/>
      <c r="BH57" s="3"/>
      <c r="BI57" s="3"/>
      <c r="BJ57" s="3"/>
      <c r="BK57" s="3"/>
      <c r="BL57" s="3"/>
      <c r="BY57" s="96"/>
      <c r="BZ57" s="92"/>
      <c r="CA57" s="76"/>
      <c r="CB57" s="97"/>
      <c r="CC57" s="100"/>
      <c r="CD57" s="76"/>
      <c r="CE57" s="3"/>
      <c r="CF57" s="64"/>
      <c r="CG57" s="3"/>
      <c r="CH57" s="3"/>
      <c r="CI57" s="64"/>
      <c r="CJ57" s="3"/>
      <c r="CK57" s="3"/>
      <c r="CL57" s="64"/>
      <c r="ED57" s="76"/>
      <c r="EG57" s="3"/>
      <c r="EJ57" s="3"/>
      <c r="FD57" s="76"/>
      <c r="FJ57" s="76"/>
    </row>
    <row r="58" spans="25:185" ht="15.75">
      <c r="BD58" s="76"/>
      <c r="BE58" s="3"/>
      <c r="BF58" s="3"/>
      <c r="BG58" s="3"/>
      <c r="BH58" s="3"/>
      <c r="BI58" s="3"/>
      <c r="BJ58" s="3"/>
      <c r="BK58" s="3"/>
      <c r="BL58" s="3"/>
      <c r="BY58" s="96"/>
      <c r="BZ58" s="92"/>
      <c r="CA58" s="76"/>
      <c r="CB58" s="96"/>
      <c r="CC58" s="92"/>
      <c r="CD58" s="76"/>
      <c r="CE58" s="3"/>
      <c r="CF58" s="64"/>
      <c r="CG58" s="3"/>
      <c r="CH58" s="3"/>
      <c r="CI58" s="64"/>
      <c r="CJ58" s="3"/>
      <c r="CK58" s="3"/>
      <c r="CL58" s="64"/>
      <c r="ED58" s="76"/>
      <c r="EG58" s="3"/>
      <c r="EJ58" s="3"/>
      <c r="FD58" s="76"/>
      <c r="FJ58" s="76"/>
    </row>
  </sheetData>
  <mergeCells count="64">
    <mergeCell ref="FX1:FX3"/>
    <mergeCell ref="FY1:GL1"/>
    <mergeCell ref="FY2:FZ3"/>
    <mergeCell ref="GB2:GC3"/>
    <mergeCell ref="GE2:GF3"/>
    <mergeCell ref="GH2:GI3"/>
    <mergeCell ref="GK2:GL3"/>
    <mergeCell ref="FK2:FL3"/>
    <mergeCell ref="EY2:EZ3"/>
    <mergeCell ref="FB2:FC3"/>
    <mergeCell ref="EX1:EX3"/>
    <mergeCell ref="AY1:BL1"/>
    <mergeCell ref="BY1:CL1"/>
    <mergeCell ref="CY1:DL1"/>
    <mergeCell ref="DY1:EL1"/>
    <mergeCell ref="FH2:FI3"/>
    <mergeCell ref="BK2:BL3"/>
    <mergeCell ref="BY2:BZ3"/>
    <mergeCell ref="CB2:CC3"/>
    <mergeCell ref="CE2:CF3"/>
    <mergeCell ref="DK2:DL3"/>
    <mergeCell ref="DE2:DF3"/>
    <mergeCell ref="DH2:DI3"/>
    <mergeCell ref="X1:X3"/>
    <mergeCell ref="AX1:AX3"/>
    <mergeCell ref="BX1:BX3"/>
    <mergeCell ref="CX1:CX3"/>
    <mergeCell ref="CY2:CZ3"/>
    <mergeCell ref="DB2:DC3"/>
    <mergeCell ref="AH2:AI3"/>
    <mergeCell ref="AK2:AL3"/>
    <mergeCell ref="AY2:AZ3"/>
    <mergeCell ref="BB2:BC3"/>
    <mergeCell ref="FE2:FF3"/>
    <mergeCell ref="EB2:EC3"/>
    <mergeCell ref="EE2:EF3"/>
    <mergeCell ref="EH2:EI3"/>
    <mergeCell ref="EK2:EL3"/>
    <mergeCell ref="CH2:CI3"/>
    <mergeCell ref="CK2:CL3"/>
    <mergeCell ref="DX1:DX3"/>
    <mergeCell ref="DY2:DZ3"/>
    <mergeCell ref="EY1:FL1"/>
    <mergeCell ref="BE2:BF3"/>
    <mergeCell ref="BH2:BI3"/>
    <mergeCell ref="Y1:AL1"/>
    <mergeCell ref="Y2:Z3"/>
    <mergeCell ref="AB2:AC3"/>
    <mergeCell ref="AE2:AF3"/>
    <mergeCell ref="B1:Q1"/>
    <mergeCell ref="K24:P24"/>
    <mergeCell ref="K20:P20"/>
    <mergeCell ref="K3:M3"/>
    <mergeCell ref="O3:Q3"/>
    <mergeCell ref="K16:P16"/>
    <mergeCell ref="K12:P12"/>
    <mergeCell ref="K8:P8"/>
    <mergeCell ref="K4:P4"/>
    <mergeCell ref="K28:P28"/>
    <mergeCell ref="B2:C3"/>
    <mergeCell ref="E2:F3"/>
    <mergeCell ref="H2:I3"/>
    <mergeCell ref="K2:Q2"/>
    <mergeCell ref="S5:S7"/>
  </mergeCells>
  <phoneticPr fontId="0" type="noConversion"/>
  <hyperlinks>
    <hyperlink ref="K4:P4" location="'stat. celkem'!AM1" display="PV-OSZO DP-A    19.1.2013"/>
    <hyperlink ref="X1:X3" location="'stat. celkem'!A1" display="ZPĚT"/>
    <hyperlink ref="K8:P8" location="'stat. celkem'!BM1" display="KLÍČOV    9.2.2013"/>
    <hyperlink ref="AX1:AX3" location="'stat. celkem'!A1" display="ZPĚT"/>
    <hyperlink ref="K12:P12" location="'stat. celkem'!CM1" display="ŘEPY    9.3.2013"/>
    <hyperlink ref="BX1:BX3" location="'stat. celkem'!A1" display="ZPĚT"/>
    <hyperlink ref="K16:P16" location="'stat. celkem'!DM1" display="HOSTIVAŘ     27.4.2013"/>
    <hyperlink ref="CX1:CX3" location="'stat. celkem'!A1" display="ZPĚT"/>
    <hyperlink ref="K20:P20" location="'stat. celkem'!EM1" display="KAČEROV     _._.2013"/>
    <hyperlink ref="DX1:DX3" location="'stat. celkem'!A1" display="ZPĚT"/>
    <hyperlink ref="EX1:EX3" location="'stat. celkem'!A1" display="ZPĚT"/>
    <hyperlink ref="K24:P24" location="'stat. celkem'!FM1" display="VRŠOVICE     _._.2013"/>
    <hyperlink ref="J2" location="turnaje!A1" display="turnaje"/>
    <hyperlink ref="J3" location="jednotlivci!A1" display="jednotlivci"/>
    <hyperlink ref="FX1:FX3" location="'stat. celkem'!A1" display="ZPĚT"/>
    <hyperlink ref="K28:P28" location="'stat. celkem'!GM1" display="POHÁR GENERÁLNÍHO ŘEDITELE"/>
  </hyperlinks>
  <pageMargins left="0.27559055118110237" right="0.31496062992125984" top="0.27559055118110237" bottom="0.23622047244094491" header="0.19685039370078741" footer="0.19685039370078741"/>
  <pageSetup paperSize="9" orientation="landscape" horizontalDpi="4294967293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1" enableFormatConditionsCalculation="0">
    <tabColor rgb="FFFF0000"/>
  </sheetPr>
  <dimension ref="A1:GR71"/>
  <sheetViews>
    <sheetView showGridLines="0" showRowColHeaders="0" tabSelected="1" zoomScaleNormal="100" workbookViewId="0">
      <pane ySplit="4" topLeftCell="A5" activePane="bottomLeft" state="frozen"/>
      <selection pane="bottomLeft" activeCell="J3" sqref="J3"/>
    </sheetView>
  </sheetViews>
  <sheetFormatPr defaultColWidth="8.85546875" defaultRowHeight="12.75"/>
  <cols>
    <col min="10" max="10" width="28.7109375" customWidth="1"/>
    <col min="13" max="13" width="65.42578125" customWidth="1"/>
    <col min="15" max="15" width="5.7109375" hidden="1" customWidth="1"/>
    <col min="16" max="17" width="7.7109375" customWidth="1"/>
    <col min="18" max="18" width="18.7109375" customWidth="1"/>
    <col min="19" max="23" width="5.7109375" style="1" customWidth="1"/>
    <col min="24" max="24" width="6.85546875" style="1" customWidth="1"/>
    <col min="25" max="25" width="6.85546875" style="1" hidden="1" customWidth="1"/>
    <col min="26" max="26" width="12.7109375" style="1" hidden="1" customWidth="1"/>
    <col min="27" max="28" width="6.7109375" style="1" customWidth="1"/>
    <col min="29" max="29" width="11.7109375" customWidth="1"/>
    <col min="30" max="30" width="2.7109375" customWidth="1"/>
    <col min="31" max="31" width="3.7109375" hidden="1" customWidth="1"/>
    <col min="32" max="32" width="3.7109375" customWidth="1"/>
    <col min="33" max="33" width="21.7109375" customWidth="1"/>
    <col min="34" max="34" width="5.7109375" style="1" customWidth="1"/>
    <col min="35" max="35" width="54.7109375" style="1" customWidth="1"/>
    <col min="37" max="37" width="3.7109375" hidden="1" customWidth="1"/>
    <col min="38" max="39" width="7.7109375" customWidth="1"/>
    <col min="40" max="40" width="18.7109375" customWidth="1"/>
    <col min="41" max="45" width="5.7109375" style="1" customWidth="1"/>
    <col min="46" max="46" width="6.7109375" style="1" customWidth="1"/>
    <col min="47" max="47" width="6.7109375" style="1" hidden="1" customWidth="1"/>
    <col min="48" max="48" width="12.7109375" style="1" hidden="1" customWidth="1"/>
    <col min="49" max="50" width="6.7109375" style="1" customWidth="1"/>
    <col min="51" max="51" width="11.7109375" customWidth="1"/>
    <col min="52" max="52" width="2.7109375" customWidth="1"/>
    <col min="53" max="53" width="3.7109375" hidden="1" customWidth="1"/>
    <col min="54" max="54" width="3.7109375" customWidth="1"/>
    <col min="55" max="55" width="21.7109375" customWidth="1"/>
    <col min="56" max="56" width="6.7109375" customWidth="1"/>
    <col min="57" max="57" width="53.85546875" customWidth="1"/>
    <col min="59" max="59" width="3.7109375" hidden="1" customWidth="1"/>
    <col min="60" max="61" width="7.7109375" customWidth="1"/>
    <col min="62" max="62" width="18.7109375" customWidth="1"/>
    <col min="63" max="67" width="5.7109375" style="1" customWidth="1"/>
    <col min="68" max="68" width="6.7109375" style="1" customWidth="1"/>
    <col min="69" max="69" width="6.7109375" style="1" hidden="1" customWidth="1"/>
    <col min="70" max="70" width="12.7109375" style="1" hidden="1" customWidth="1"/>
    <col min="71" max="72" width="6.7109375" style="1" customWidth="1"/>
    <col min="73" max="73" width="8.28515625" hidden="1" customWidth="1"/>
    <col min="74" max="74" width="14" hidden="1" customWidth="1"/>
    <col min="75" max="75" width="11.7109375" customWidth="1"/>
    <col min="76" max="76" width="2.7109375" customWidth="1"/>
    <col min="77" max="77" width="3.7109375" hidden="1" customWidth="1"/>
    <col min="78" max="78" width="3.7109375" customWidth="1"/>
    <col min="79" max="79" width="21.7109375" customWidth="1"/>
    <col min="80" max="80" width="6.7109375" customWidth="1"/>
    <col min="81" max="81" width="50.7109375" customWidth="1"/>
    <col min="83" max="83" width="3.7109375" hidden="1" customWidth="1"/>
    <col min="84" max="85" width="7.7109375" customWidth="1"/>
    <col min="86" max="86" width="18.7109375" customWidth="1"/>
    <col min="87" max="91" width="5.7109375" style="1" customWidth="1"/>
    <col min="92" max="92" width="6.7109375" style="1" customWidth="1"/>
    <col min="93" max="93" width="6.7109375" style="1" hidden="1" customWidth="1"/>
    <col min="94" max="94" width="12.7109375" style="1" hidden="1" customWidth="1"/>
    <col min="95" max="96" width="6.7109375" style="1" customWidth="1"/>
    <col min="97" max="97" width="6.7109375" hidden="1" customWidth="1"/>
    <col min="98" max="98" width="15.140625" hidden="1" customWidth="1"/>
    <col min="99" max="99" width="11.7109375" customWidth="1"/>
    <col min="100" max="100" width="2.7109375" customWidth="1"/>
    <col min="101" max="101" width="3.7109375" hidden="1" customWidth="1"/>
    <col min="102" max="102" width="3.7109375" customWidth="1"/>
    <col min="103" max="103" width="21.7109375" customWidth="1"/>
    <col min="104" max="104" width="6.7109375" customWidth="1"/>
    <col min="105" max="105" width="50.7109375" customWidth="1"/>
    <col min="107" max="107" width="3.7109375" hidden="1" customWidth="1"/>
    <col min="108" max="109" width="7.7109375" customWidth="1"/>
    <col min="110" max="110" width="18.7109375" customWidth="1"/>
    <col min="111" max="115" width="5.7109375" style="1" customWidth="1"/>
    <col min="116" max="116" width="6.7109375" style="1" customWidth="1"/>
    <col min="117" max="117" width="6.7109375" style="1" hidden="1" customWidth="1"/>
    <col min="118" max="118" width="12.7109375" style="1" hidden="1" customWidth="1"/>
    <col min="119" max="120" width="6.7109375" style="1" customWidth="1"/>
    <col min="121" max="121" width="6.7109375" hidden="1" customWidth="1"/>
    <col min="122" max="122" width="13.42578125" hidden="1" customWidth="1"/>
    <col min="123" max="123" width="11.7109375" customWidth="1"/>
    <col min="124" max="124" width="2.7109375" customWidth="1"/>
    <col min="125" max="125" width="3.7109375" hidden="1" customWidth="1"/>
    <col min="126" max="126" width="3.7109375" customWidth="1"/>
    <col min="127" max="127" width="21.7109375" customWidth="1"/>
    <col min="128" max="128" width="6.7109375" customWidth="1"/>
    <col min="129" max="129" width="50.7109375" customWidth="1"/>
    <col min="131" max="131" width="3.7109375" customWidth="1"/>
    <col min="132" max="133" width="7.7109375" customWidth="1"/>
    <col min="134" max="134" width="18.7109375" customWidth="1"/>
    <col min="135" max="139" width="5.7109375" style="1" customWidth="1"/>
    <col min="140" max="141" width="6.7109375" style="1" customWidth="1"/>
    <col min="142" max="142" width="12.7109375" style="1" customWidth="1"/>
    <col min="143" max="144" width="6.7109375" style="1" customWidth="1"/>
    <col min="145" max="145" width="6.7109375" customWidth="1"/>
    <col min="146" max="146" width="12.42578125" customWidth="1"/>
    <col min="147" max="147" width="11.7109375" customWidth="1"/>
    <col min="148" max="148" width="2.7109375" customWidth="1"/>
    <col min="149" max="150" width="3.7109375" customWidth="1"/>
    <col min="151" max="151" width="21.7109375" customWidth="1"/>
    <col min="152" max="152" width="6.7109375" customWidth="1"/>
    <col min="153" max="153" width="50.7109375" customWidth="1"/>
    <col min="154" max="154" width="9.140625" customWidth="1"/>
    <col min="155" max="155" width="3.7109375" hidden="1" customWidth="1"/>
    <col min="156" max="157" width="7.7109375" customWidth="1"/>
    <col min="158" max="158" width="18.7109375" customWidth="1"/>
    <col min="159" max="163" width="5.7109375" customWidth="1"/>
    <col min="164" max="164" width="6.7109375" customWidth="1"/>
    <col min="165" max="165" width="6.7109375" hidden="1" customWidth="1"/>
    <col min="166" max="166" width="12.7109375" hidden="1" customWidth="1"/>
    <col min="167" max="168" width="6.7109375" customWidth="1"/>
    <col min="169" max="169" width="6.7109375" hidden="1" customWidth="1"/>
    <col min="170" max="170" width="12.42578125" hidden="1" customWidth="1"/>
    <col min="171" max="171" width="11.7109375" customWidth="1"/>
    <col min="172" max="172" width="2.7109375" customWidth="1"/>
    <col min="173" max="173" width="3.7109375" hidden="1" customWidth="1"/>
    <col min="174" max="174" width="3.7109375" customWidth="1"/>
    <col min="175" max="175" width="21.7109375" customWidth="1"/>
    <col min="176" max="176" width="6.7109375" customWidth="1"/>
    <col min="177" max="177" width="50.7109375" customWidth="1"/>
    <col min="179" max="179" width="3.7109375" hidden="1" customWidth="1"/>
    <col min="180" max="181" width="7.7109375" customWidth="1"/>
    <col min="182" max="182" width="18.7109375" customWidth="1"/>
    <col min="183" max="187" width="5.7109375" style="1" customWidth="1"/>
    <col min="188" max="188" width="6.7109375" style="1" customWidth="1"/>
    <col min="189" max="189" width="6.7109375" style="1" hidden="1" customWidth="1"/>
    <col min="190" max="190" width="11.7109375" style="1" hidden="1" customWidth="1"/>
    <col min="191" max="192" width="6.7109375" style="1" customWidth="1"/>
    <col min="193" max="193" width="6.7109375" hidden="1" customWidth="1"/>
    <col min="194" max="194" width="11.140625" hidden="1" customWidth="1"/>
    <col min="195" max="195" width="11.7109375" customWidth="1"/>
    <col min="196" max="196" width="2.7109375" customWidth="1"/>
    <col min="197" max="197" width="3.7109375" hidden="1" customWidth="1"/>
    <col min="198" max="198" width="3.7109375" customWidth="1"/>
    <col min="199" max="199" width="21.7109375" customWidth="1"/>
    <col min="200" max="200" width="6.7109375" customWidth="1"/>
    <col min="201" max="201" width="50.7109375" customWidth="1"/>
  </cols>
  <sheetData>
    <row r="1" spans="1:200" ht="12.75" customHeight="1">
      <c r="A1" s="918"/>
      <c r="B1" s="918"/>
      <c r="C1" s="918"/>
      <c r="D1" s="918"/>
      <c r="E1" s="918"/>
      <c r="F1" s="918"/>
      <c r="G1" s="918"/>
      <c r="H1" s="918"/>
      <c r="I1" s="918"/>
      <c r="J1" s="918"/>
      <c r="K1" s="918"/>
      <c r="L1" s="918"/>
      <c r="M1" s="918"/>
      <c r="N1" s="953" t="s">
        <v>121</v>
      </c>
      <c r="P1" s="152"/>
      <c r="AJ1" s="953" t="s">
        <v>121</v>
      </c>
      <c r="AL1" s="152"/>
      <c r="BD1" s="1"/>
      <c r="BE1" s="1"/>
      <c r="BF1" s="953" t="s">
        <v>121</v>
      </c>
      <c r="BH1" s="152"/>
      <c r="CB1" s="1"/>
      <c r="CC1" s="1"/>
      <c r="CD1" s="953" t="s">
        <v>121</v>
      </c>
      <c r="CF1" s="152"/>
      <c r="CZ1" s="1"/>
      <c r="DA1" s="1"/>
      <c r="DB1" s="953" t="s">
        <v>121</v>
      </c>
      <c r="DD1" s="152"/>
      <c r="DX1" s="1"/>
      <c r="DY1" s="1"/>
      <c r="DZ1" s="953" t="s">
        <v>121</v>
      </c>
      <c r="EB1" s="152"/>
      <c r="EV1" s="1"/>
      <c r="EW1" s="1"/>
      <c r="EX1" s="1045" t="s">
        <v>121</v>
      </c>
      <c r="EY1" s="812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953" t="s">
        <v>121</v>
      </c>
      <c r="FX1" s="152"/>
      <c r="GR1" s="1"/>
    </row>
    <row r="2" spans="1:200" ht="12.75" customHeight="1">
      <c r="A2" s="918"/>
      <c r="B2" s="918"/>
      <c r="C2" s="918"/>
      <c r="D2" s="919"/>
      <c r="E2" s="918"/>
      <c r="F2" s="918"/>
      <c r="G2" s="918"/>
      <c r="H2" s="918"/>
      <c r="I2" s="918"/>
      <c r="J2" s="918"/>
      <c r="K2" s="918"/>
      <c r="L2" s="918"/>
      <c r="M2" s="918"/>
      <c r="N2" s="953"/>
      <c r="P2" s="152"/>
      <c r="AJ2" s="953"/>
      <c r="AL2" s="152"/>
      <c r="BD2" s="1"/>
      <c r="BE2" s="1"/>
      <c r="BF2" s="953"/>
      <c r="BH2" s="152"/>
      <c r="CB2" s="1"/>
      <c r="CC2" s="1"/>
      <c r="CD2" s="953"/>
      <c r="CF2" s="152"/>
      <c r="CZ2" s="1"/>
      <c r="DA2" s="1"/>
      <c r="DB2" s="953"/>
      <c r="DD2" s="152"/>
      <c r="DX2" s="1"/>
      <c r="DY2" s="1"/>
      <c r="DZ2" s="953"/>
      <c r="EB2" s="152"/>
      <c r="EV2" s="1"/>
      <c r="EW2" s="1"/>
      <c r="EX2" s="1045"/>
      <c r="EY2" s="812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953"/>
      <c r="FX2" s="152"/>
      <c r="GR2" s="1"/>
    </row>
    <row r="3" spans="1:200" ht="20.25">
      <c r="A3" s="918"/>
      <c r="B3" s="973" t="s">
        <v>129</v>
      </c>
      <c r="C3" s="974"/>
      <c r="D3" s="974"/>
      <c r="E3" s="974"/>
      <c r="F3" s="974"/>
      <c r="G3" s="974"/>
      <c r="H3" s="974"/>
      <c r="I3" s="975"/>
      <c r="J3" s="920"/>
      <c r="K3" s="920"/>
      <c r="L3" s="920"/>
      <c r="M3" s="920"/>
      <c r="N3" s="953"/>
      <c r="P3" s="967" t="s">
        <v>130</v>
      </c>
      <c r="Q3" s="967"/>
      <c r="R3" s="967"/>
      <c r="S3" s="967"/>
      <c r="T3" s="967"/>
      <c r="U3" s="967"/>
      <c r="V3" s="967"/>
      <c r="W3" s="967"/>
      <c r="X3" s="967"/>
      <c r="Y3" s="967"/>
      <c r="Z3" s="967"/>
      <c r="AA3" s="967"/>
      <c r="AB3" s="967"/>
      <c r="AC3" s="967"/>
      <c r="AD3" s="967"/>
      <c r="AE3" s="967"/>
      <c r="AF3" s="967"/>
      <c r="AG3" s="967"/>
      <c r="AH3" s="967"/>
      <c r="AI3" s="348"/>
      <c r="AJ3" s="953"/>
      <c r="AL3" s="967" t="s">
        <v>131</v>
      </c>
      <c r="AM3" s="967"/>
      <c r="AN3" s="967"/>
      <c r="AO3" s="967"/>
      <c r="AP3" s="967"/>
      <c r="AQ3" s="967"/>
      <c r="AR3" s="967"/>
      <c r="AS3" s="967"/>
      <c r="AT3" s="967"/>
      <c r="AU3" s="967"/>
      <c r="AV3" s="967"/>
      <c r="AW3" s="967"/>
      <c r="AX3" s="967"/>
      <c r="AY3" s="967"/>
      <c r="AZ3" s="967"/>
      <c r="BA3" s="967"/>
      <c r="BB3" s="967"/>
      <c r="BC3" s="967"/>
      <c r="BD3" s="967"/>
      <c r="BE3" s="348"/>
      <c r="BF3" s="953"/>
      <c r="BH3" s="967" t="s">
        <v>132</v>
      </c>
      <c r="BI3" s="967"/>
      <c r="BJ3" s="967"/>
      <c r="BK3" s="967"/>
      <c r="BL3" s="967"/>
      <c r="BM3" s="967"/>
      <c r="BN3" s="967"/>
      <c r="BO3" s="967"/>
      <c r="BP3" s="967"/>
      <c r="BQ3" s="967"/>
      <c r="BR3" s="967"/>
      <c r="BS3" s="967"/>
      <c r="BT3" s="967"/>
      <c r="BU3" s="967"/>
      <c r="BV3" s="967"/>
      <c r="BW3" s="967"/>
      <c r="BX3" s="967"/>
      <c r="BY3" s="967"/>
      <c r="BZ3" s="967"/>
      <c r="CA3" s="967"/>
      <c r="CB3" s="967"/>
      <c r="CC3" s="348"/>
      <c r="CD3" s="953"/>
      <c r="CF3" s="967" t="s">
        <v>133</v>
      </c>
      <c r="CG3" s="967"/>
      <c r="CH3" s="967"/>
      <c r="CI3" s="967"/>
      <c r="CJ3" s="967"/>
      <c r="CK3" s="967"/>
      <c r="CL3" s="967"/>
      <c r="CM3" s="967"/>
      <c r="CN3" s="967"/>
      <c r="CO3" s="967"/>
      <c r="CP3" s="967"/>
      <c r="CQ3" s="967"/>
      <c r="CR3" s="967"/>
      <c r="CS3" s="967"/>
      <c r="CT3" s="967"/>
      <c r="CU3" s="967"/>
      <c r="CV3" s="967"/>
      <c r="CW3" s="967"/>
      <c r="CX3" s="967"/>
      <c r="CY3" s="967"/>
      <c r="CZ3" s="967"/>
      <c r="DA3" s="348"/>
      <c r="DB3" s="953"/>
      <c r="DD3" s="967" t="s">
        <v>271</v>
      </c>
      <c r="DE3" s="967"/>
      <c r="DF3" s="967"/>
      <c r="DG3" s="967"/>
      <c r="DH3" s="967"/>
      <c r="DI3" s="967"/>
      <c r="DJ3" s="967"/>
      <c r="DK3" s="967"/>
      <c r="DL3" s="967"/>
      <c r="DM3" s="967"/>
      <c r="DN3" s="967"/>
      <c r="DO3" s="967"/>
      <c r="DP3" s="967"/>
      <c r="DQ3" s="967"/>
      <c r="DR3" s="967"/>
      <c r="DS3" s="967"/>
      <c r="DT3" s="967"/>
      <c r="DU3" s="967"/>
      <c r="DV3" s="967"/>
      <c r="DW3" s="967"/>
      <c r="DX3" s="967"/>
      <c r="DY3" s="348"/>
      <c r="DZ3" s="953"/>
      <c r="EB3" s="967" t="s">
        <v>272</v>
      </c>
      <c r="EC3" s="967"/>
      <c r="ED3" s="967"/>
      <c r="EE3" s="967"/>
      <c r="EF3" s="967"/>
      <c r="EG3" s="967"/>
      <c r="EH3" s="967"/>
      <c r="EI3" s="967"/>
      <c r="EJ3" s="967"/>
      <c r="EK3" s="967"/>
      <c r="EL3" s="967"/>
      <c r="EM3" s="967"/>
      <c r="EN3" s="967"/>
      <c r="EO3" s="967"/>
      <c r="EP3" s="967"/>
      <c r="EQ3" s="967"/>
      <c r="ER3" s="967"/>
      <c r="ES3" s="967"/>
      <c r="ET3" s="967"/>
      <c r="EU3" s="967"/>
      <c r="EV3" s="967"/>
      <c r="EW3" s="348"/>
      <c r="EX3" s="1045"/>
      <c r="EY3" s="812"/>
      <c r="EZ3" s="348"/>
      <c r="FA3" s="348"/>
      <c r="FB3" s="348"/>
      <c r="FC3" s="348"/>
      <c r="FD3" s="348"/>
      <c r="FE3" s="348"/>
      <c r="FF3" s="348"/>
      <c r="FG3" s="348"/>
      <c r="FH3" s="348"/>
      <c r="FI3" s="348"/>
      <c r="FJ3" s="348"/>
      <c r="FK3" s="348"/>
      <c r="FL3" s="348"/>
      <c r="FM3" s="348"/>
      <c r="FN3" s="348"/>
      <c r="FO3" s="348"/>
      <c r="FP3" s="348"/>
      <c r="FQ3" s="348"/>
      <c r="FR3" s="348"/>
      <c r="FS3" s="348"/>
      <c r="FT3" s="348"/>
      <c r="FU3" s="348"/>
      <c r="FV3" s="953"/>
      <c r="FX3" s="967" t="s">
        <v>134</v>
      </c>
      <c r="FY3" s="967"/>
      <c r="FZ3" s="967"/>
      <c r="GA3" s="967"/>
      <c r="GB3" s="967"/>
      <c r="GC3" s="967"/>
      <c r="GD3" s="967"/>
      <c r="GE3" s="967"/>
      <c r="GF3" s="967"/>
      <c r="GG3" s="967"/>
      <c r="GH3" s="967"/>
      <c r="GI3" s="967"/>
      <c r="GJ3" s="967"/>
      <c r="GK3" s="967"/>
      <c r="GL3" s="967"/>
      <c r="GM3" s="967"/>
      <c r="GN3" s="967"/>
      <c r="GO3" s="967"/>
      <c r="GP3" s="967"/>
      <c r="GQ3" s="967"/>
      <c r="GR3" s="967"/>
    </row>
    <row r="4" spans="1:200" ht="20.25">
      <c r="A4" s="918"/>
      <c r="B4" s="976"/>
      <c r="C4" s="977"/>
      <c r="D4" s="977"/>
      <c r="E4" s="977"/>
      <c r="F4" s="977"/>
      <c r="G4" s="977"/>
      <c r="H4" s="977"/>
      <c r="I4" s="978"/>
      <c r="J4" s="920"/>
      <c r="K4" s="920"/>
      <c r="L4" s="920"/>
      <c r="M4" s="920"/>
      <c r="N4" s="953"/>
      <c r="AJ4" s="953"/>
      <c r="BD4" s="1"/>
      <c r="BE4" s="1"/>
      <c r="BF4" s="953"/>
      <c r="CB4" s="1"/>
      <c r="CC4" s="1"/>
      <c r="CD4" s="953"/>
      <c r="CZ4" s="1"/>
      <c r="DA4" s="1"/>
      <c r="DB4" s="953"/>
      <c r="DX4" s="1"/>
      <c r="DY4" s="1"/>
      <c r="DZ4" s="953"/>
      <c r="EV4" s="1"/>
      <c r="EW4" s="1"/>
      <c r="EX4" s="1045"/>
      <c r="EY4" s="812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953"/>
      <c r="GR4" s="1"/>
    </row>
    <row r="5" spans="1:200" ht="15" customHeight="1">
      <c r="A5" s="915"/>
      <c r="B5" s="915"/>
      <c r="C5" s="915"/>
      <c r="D5" s="915"/>
      <c r="E5" s="915"/>
      <c r="F5" s="915"/>
      <c r="G5" s="915"/>
      <c r="H5" s="915"/>
      <c r="I5" s="915"/>
      <c r="J5" s="915"/>
      <c r="K5" s="915"/>
      <c r="L5" s="915"/>
      <c r="M5" s="915"/>
      <c r="P5" s="971" t="s">
        <v>83</v>
      </c>
      <c r="Q5" s="972"/>
      <c r="R5" s="312" t="s">
        <v>135</v>
      </c>
      <c r="S5" s="313" t="s">
        <v>84</v>
      </c>
      <c r="T5" s="313" t="s">
        <v>85</v>
      </c>
      <c r="U5" s="313" t="s">
        <v>86</v>
      </c>
      <c r="V5" s="313" t="s">
        <v>87</v>
      </c>
      <c r="W5" s="313" t="s">
        <v>88</v>
      </c>
      <c r="X5" s="313" t="s">
        <v>89</v>
      </c>
      <c r="Y5" s="314"/>
      <c r="Z5" s="314"/>
      <c r="AA5" s="969" t="s">
        <v>136</v>
      </c>
      <c r="AB5" s="970"/>
      <c r="AC5" s="315" t="s">
        <v>137</v>
      </c>
      <c r="AF5" s="968" t="s">
        <v>240</v>
      </c>
      <c r="AG5" s="968"/>
      <c r="AH5" s="968"/>
      <c r="AI5" s="350"/>
      <c r="AL5" s="971" t="s">
        <v>83</v>
      </c>
      <c r="AM5" s="972"/>
      <c r="AN5" s="335" t="s">
        <v>135</v>
      </c>
      <c r="AO5" s="336" t="s">
        <v>84</v>
      </c>
      <c r="AP5" s="337" t="s">
        <v>85</v>
      </c>
      <c r="AQ5" s="337" t="s">
        <v>86</v>
      </c>
      <c r="AR5" s="337" t="s">
        <v>87</v>
      </c>
      <c r="AS5" s="337" t="s">
        <v>88</v>
      </c>
      <c r="AT5" s="313" t="s">
        <v>89</v>
      </c>
      <c r="AU5" s="314"/>
      <c r="AV5" s="314"/>
      <c r="AW5" s="969" t="s">
        <v>136</v>
      </c>
      <c r="AX5" s="970"/>
      <c r="AY5" s="315" t="s">
        <v>137</v>
      </c>
      <c r="BB5" s="968" t="s">
        <v>240</v>
      </c>
      <c r="BC5" s="968"/>
      <c r="BD5" s="968"/>
      <c r="BE5" s="350"/>
      <c r="BH5" s="971" t="s">
        <v>83</v>
      </c>
      <c r="BI5" s="972"/>
      <c r="BJ5" s="335" t="s">
        <v>135</v>
      </c>
      <c r="BK5" s="336" t="s">
        <v>84</v>
      </c>
      <c r="BL5" s="337" t="s">
        <v>85</v>
      </c>
      <c r="BM5" s="337" t="s">
        <v>86</v>
      </c>
      <c r="BN5" s="337" t="s">
        <v>87</v>
      </c>
      <c r="BO5" s="337" t="s">
        <v>88</v>
      </c>
      <c r="BP5" s="313" t="s">
        <v>89</v>
      </c>
      <c r="BQ5" s="314"/>
      <c r="BR5" s="314"/>
      <c r="BS5" s="969" t="s">
        <v>136</v>
      </c>
      <c r="BT5" s="970"/>
      <c r="BU5" s="311"/>
      <c r="BV5" s="311"/>
      <c r="BW5" s="315" t="s">
        <v>137</v>
      </c>
      <c r="BZ5" s="968" t="s">
        <v>240</v>
      </c>
      <c r="CA5" s="968"/>
      <c r="CB5" s="968"/>
      <c r="CC5" s="350"/>
      <c r="CF5" s="971" t="s">
        <v>83</v>
      </c>
      <c r="CG5" s="972"/>
      <c r="CH5" s="335" t="s">
        <v>135</v>
      </c>
      <c r="CI5" s="336" t="s">
        <v>84</v>
      </c>
      <c r="CJ5" s="337" t="s">
        <v>85</v>
      </c>
      <c r="CK5" s="337" t="s">
        <v>86</v>
      </c>
      <c r="CL5" s="337" t="s">
        <v>87</v>
      </c>
      <c r="CM5" s="337" t="s">
        <v>88</v>
      </c>
      <c r="CN5" s="313" t="s">
        <v>89</v>
      </c>
      <c r="CO5" s="314"/>
      <c r="CP5" s="314"/>
      <c r="CQ5" s="969" t="s">
        <v>136</v>
      </c>
      <c r="CR5" s="970"/>
      <c r="CS5" s="311"/>
      <c r="CT5" s="311"/>
      <c r="CU5" s="315" t="s">
        <v>137</v>
      </c>
      <c r="CX5" s="968" t="s">
        <v>240</v>
      </c>
      <c r="CY5" s="968"/>
      <c r="CZ5" s="968"/>
      <c r="DA5" s="350"/>
      <c r="DD5" s="971" t="s">
        <v>83</v>
      </c>
      <c r="DE5" s="972"/>
      <c r="DF5" s="335" t="s">
        <v>135</v>
      </c>
      <c r="DG5" s="336" t="s">
        <v>84</v>
      </c>
      <c r="DH5" s="337" t="s">
        <v>85</v>
      </c>
      <c r="DI5" s="337" t="s">
        <v>86</v>
      </c>
      <c r="DJ5" s="337" t="s">
        <v>87</v>
      </c>
      <c r="DK5" s="337" t="s">
        <v>88</v>
      </c>
      <c r="DL5" s="313" t="s">
        <v>89</v>
      </c>
      <c r="DM5" s="314"/>
      <c r="DN5" s="314"/>
      <c r="DO5" s="969" t="s">
        <v>136</v>
      </c>
      <c r="DP5" s="970"/>
      <c r="DQ5" s="311"/>
      <c r="DR5" s="311"/>
      <c r="DS5" s="315" t="s">
        <v>137</v>
      </c>
      <c r="DV5" s="968" t="s">
        <v>240</v>
      </c>
      <c r="DW5" s="968"/>
      <c r="DX5" s="968"/>
      <c r="DY5" s="350"/>
      <c r="EB5" s="971" t="s">
        <v>83</v>
      </c>
      <c r="EC5" s="972"/>
      <c r="ED5" s="312" t="s">
        <v>135</v>
      </c>
      <c r="EE5" s="611" t="s">
        <v>84</v>
      </c>
      <c r="EF5" s="313" t="s">
        <v>85</v>
      </c>
      <c r="EG5" s="313" t="s">
        <v>86</v>
      </c>
      <c r="EH5" s="313" t="s">
        <v>87</v>
      </c>
      <c r="EI5" s="313" t="s">
        <v>88</v>
      </c>
      <c r="EJ5" s="313" t="s">
        <v>89</v>
      </c>
      <c r="EK5" s="314"/>
      <c r="EL5" s="314"/>
      <c r="EM5" s="969" t="s">
        <v>136</v>
      </c>
      <c r="EN5" s="970"/>
      <c r="EO5" s="311"/>
      <c r="EP5" s="311"/>
      <c r="EQ5" s="315" t="s">
        <v>137</v>
      </c>
      <c r="ET5" s="968" t="s">
        <v>240</v>
      </c>
      <c r="EU5" s="968"/>
      <c r="EV5" s="968"/>
      <c r="EW5" s="350"/>
      <c r="EX5" s="350"/>
      <c r="EZ5" s="971" t="s">
        <v>83</v>
      </c>
      <c r="FA5" s="972"/>
      <c r="FB5" s="312" t="s">
        <v>135</v>
      </c>
      <c r="FC5" s="611" t="s">
        <v>84</v>
      </c>
      <c r="FD5" s="313" t="s">
        <v>85</v>
      </c>
      <c r="FE5" s="313" t="s">
        <v>86</v>
      </c>
      <c r="FF5" s="313" t="s">
        <v>87</v>
      </c>
      <c r="FG5" s="313" t="s">
        <v>88</v>
      </c>
      <c r="FH5" s="313" t="s">
        <v>89</v>
      </c>
      <c r="FI5" s="314"/>
      <c r="FJ5" s="314"/>
      <c r="FK5" s="969" t="s">
        <v>136</v>
      </c>
      <c r="FL5" s="970"/>
      <c r="FM5" s="311"/>
      <c r="FN5" s="311"/>
      <c r="FO5" s="315" t="s">
        <v>137</v>
      </c>
      <c r="FR5" s="968" t="s">
        <v>240</v>
      </c>
      <c r="FS5" s="968"/>
      <c r="FT5" s="968"/>
      <c r="FU5" s="350"/>
      <c r="FX5" s="971" t="s">
        <v>83</v>
      </c>
      <c r="FY5" s="972"/>
      <c r="FZ5" s="335" t="s">
        <v>135</v>
      </c>
      <c r="GA5" s="336" t="s">
        <v>84</v>
      </c>
      <c r="GB5" s="337" t="s">
        <v>85</v>
      </c>
      <c r="GC5" s="337" t="s">
        <v>86</v>
      </c>
      <c r="GD5" s="337" t="s">
        <v>87</v>
      </c>
      <c r="GE5" s="337" t="s">
        <v>88</v>
      </c>
      <c r="GF5" s="313" t="s">
        <v>89</v>
      </c>
      <c r="GG5" s="314"/>
      <c r="GH5" s="314"/>
      <c r="GI5" s="969" t="s">
        <v>136</v>
      </c>
      <c r="GJ5" s="970"/>
      <c r="GK5" s="311"/>
      <c r="GL5" s="311"/>
      <c r="GM5" s="315" t="s">
        <v>137</v>
      </c>
      <c r="GP5" s="968" t="s">
        <v>240</v>
      </c>
      <c r="GQ5" s="968"/>
      <c r="GR5" s="968"/>
    </row>
    <row r="6" spans="1:200" ht="15" customHeight="1">
      <c r="A6" s="915"/>
      <c r="B6" s="915"/>
      <c r="C6" s="915"/>
      <c r="D6" s="915"/>
      <c r="E6" s="915"/>
      <c r="F6" s="915"/>
      <c r="G6" s="915"/>
      <c r="H6" s="915"/>
      <c r="I6" s="915"/>
      <c r="J6" s="915"/>
      <c r="K6" s="915"/>
      <c r="L6" s="915"/>
      <c r="M6" s="915"/>
      <c r="O6">
        <f>IF(S6="","",AA6)</f>
        <v>43</v>
      </c>
      <c r="P6" s="979">
        <v>1</v>
      </c>
      <c r="Q6" s="982" t="s">
        <v>138</v>
      </c>
      <c r="R6" s="153" t="s">
        <v>139</v>
      </c>
      <c r="S6" s="316">
        <v>116</v>
      </c>
      <c r="T6" s="316">
        <v>130</v>
      </c>
      <c r="U6" s="316">
        <v>127</v>
      </c>
      <c r="V6" s="316">
        <v>88</v>
      </c>
      <c r="W6" s="316">
        <v>111</v>
      </c>
      <c r="X6" s="165">
        <f>SUM(S6:W6)</f>
        <v>572</v>
      </c>
      <c r="Y6" s="165">
        <f t="shared" ref="Y6:Y16" si="0">MAX(S6:W6)</f>
        <v>130</v>
      </c>
      <c r="Z6" s="317">
        <f>SUM(X6*1000)+Y6+0.5</f>
        <v>572130.5</v>
      </c>
      <c r="AA6" s="318">
        <f>IF(S6="","",RANK(Z6,Z6:Z65,0))</f>
        <v>43</v>
      </c>
      <c r="AB6" s="154"/>
      <c r="AC6" s="985">
        <f>RANK(AB11,AB11:AB65,0)</f>
        <v>6</v>
      </c>
      <c r="AE6">
        <f>COUNT(S6:S10,S12:S16,S18:S22,S24:S28,S30:S34,S36:S40,S42:S46,S48:S52,S54:S58,S60:S64)</f>
        <v>50</v>
      </c>
      <c r="AF6" s="155">
        <v>1</v>
      </c>
      <c r="AG6" s="156" t="str">
        <f>IF(AE6&lt;1,"",VLOOKUP(1,O6:AA65,4,FALSE))</f>
        <v>ŠAFAŘÍK LUDĚK</v>
      </c>
      <c r="AH6" s="155">
        <f>IF(AE6&lt;1,"",VLOOKUP(1,O6:AA65,10,FALSE))</f>
        <v>928</v>
      </c>
      <c r="AI6" s="8"/>
      <c r="AK6">
        <f>IF(AO6="","",AW6)</f>
        <v>38</v>
      </c>
      <c r="AL6" s="979">
        <v>1</v>
      </c>
      <c r="AM6" s="982" t="s">
        <v>197</v>
      </c>
      <c r="AN6" s="236" t="s">
        <v>227</v>
      </c>
      <c r="AO6" s="338">
        <v>139</v>
      </c>
      <c r="AP6" s="316">
        <v>135</v>
      </c>
      <c r="AQ6" s="316">
        <v>109</v>
      </c>
      <c r="AR6" s="316">
        <v>119</v>
      </c>
      <c r="AS6" s="316">
        <v>119</v>
      </c>
      <c r="AT6" s="165">
        <f>SUM(AO6:AS6)</f>
        <v>621</v>
      </c>
      <c r="AU6" s="165">
        <f t="shared" ref="AU6:AU16" si="1">MAX(AO6:AS6)</f>
        <v>139</v>
      </c>
      <c r="AV6" s="317">
        <f>SUM(AT6*1000)+AU6+0.5</f>
        <v>621139.5</v>
      </c>
      <c r="AW6" s="318">
        <f>IF(AO6="","",RANK(AV6,AV6:AV65,0))</f>
        <v>38</v>
      </c>
      <c r="AX6" s="154"/>
      <c r="AY6" s="985">
        <f>RANK(AX11,AX11:AX65,0)</f>
        <v>5</v>
      </c>
      <c r="BA6">
        <f>COUNT(AO6:AO10,AO12:AO16,AO18:AO22,AO24:AO28,AO30:AO34,AO36:AO40,AO42:AO46,AO48:AO52,AO54:AO58,AO60:AO64)</f>
        <v>50</v>
      </c>
      <c r="BB6" s="155">
        <v>1</v>
      </c>
      <c r="BC6" s="156" t="str">
        <f>IF(BA6&lt;1,"",VLOOKUP(1,AK6:AW65,4,FALSE))</f>
        <v>LAZUR VLADIMÍR</v>
      </c>
      <c r="BD6" s="155">
        <f>IF(BA6&lt;1,"",VLOOKUP(1,AK6:AW65,10,FALSE))</f>
        <v>945</v>
      </c>
      <c r="BE6" s="8"/>
      <c r="BG6">
        <f>IF(BK6="","",BS6)</f>
        <v>17</v>
      </c>
      <c r="BH6" s="979">
        <v>1</v>
      </c>
      <c r="BI6" s="982" t="s">
        <v>185</v>
      </c>
      <c r="BJ6" s="256" t="s">
        <v>186</v>
      </c>
      <c r="BK6" s="342">
        <v>136</v>
      </c>
      <c r="BL6" s="343">
        <v>159</v>
      </c>
      <c r="BM6" s="343">
        <v>138</v>
      </c>
      <c r="BN6" s="343">
        <v>174</v>
      </c>
      <c r="BO6" s="343">
        <v>153</v>
      </c>
      <c r="BP6" s="165">
        <f>SUM(BK6:BO6)</f>
        <v>760</v>
      </c>
      <c r="BQ6" s="165">
        <f t="shared" ref="BQ6:BQ16" si="2">MAX(BK6:BO6)</f>
        <v>174</v>
      </c>
      <c r="BR6" s="317">
        <f>SUM(BP6*1000)+BQ6+0.5</f>
        <v>760174.5</v>
      </c>
      <c r="BS6" s="318">
        <f>IF(BK6="","",RANK(BR6,BR6:BR65,0))</f>
        <v>17</v>
      </c>
      <c r="BT6" s="154"/>
      <c r="BU6" s="249"/>
      <c r="BV6" s="249"/>
      <c r="BW6" s="985">
        <f>IF(BK6="","",RANK(BV11,BV11:BV65,0))</f>
        <v>5</v>
      </c>
      <c r="BY6">
        <f>COUNT(BK6:BK10,BK12:BK16,BK18:BK22,BK24:BK28,BK30:BK34,BK36:BK40,BK42:BK46,BK48:BK52,BK54:BK58,BK60:BK64)</f>
        <v>50</v>
      </c>
      <c r="BZ6" s="155">
        <v>1</v>
      </c>
      <c r="CA6" s="156" t="str">
        <f>IF(BY6&lt;1,"",VLOOKUP(1,BG6:BS65,4,FALSE))</f>
        <v>KOCŮR JAROSLAV</v>
      </c>
      <c r="CB6" s="155">
        <f>IF(BY6&lt;1,"",VLOOKUP(1,BG6:BS65,10,FALSE))</f>
        <v>960</v>
      </c>
      <c r="CC6" s="8"/>
      <c r="CD6" s="3"/>
      <c r="CE6">
        <f>IF(CI6="","",CQ6)</f>
        <v>43</v>
      </c>
      <c r="CF6" s="979">
        <v>1</v>
      </c>
      <c r="CG6" s="982" t="s">
        <v>173</v>
      </c>
      <c r="CH6" s="270" t="s">
        <v>184</v>
      </c>
      <c r="CI6" s="325">
        <v>116</v>
      </c>
      <c r="CJ6" s="325">
        <v>89</v>
      </c>
      <c r="CK6" s="325">
        <v>107</v>
      </c>
      <c r="CL6" s="325">
        <v>115</v>
      </c>
      <c r="CM6" s="325">
        <v>131</v>
      </c>
      <c r="CN6" s="165">
        <f>SUM(CI6:CM6)</f>
        <v>558</v>
      </c>
      <c r="CO6" s="165">
        <f t="shared" ref="CO6:CO16" si="3">MAX(CI6:CM6)</f>
        <v>131</v>
      </c>
      <c r="CP6" s="317">
        <f>SUM(CN6*1000)+CO6+0.5</f>
        <v>558131.5</v>
      </c>
      <c r="CQ6" s="318">
        <f>IF(CI6="","",RANK(CP6,CP6:CP65,0))</f>
        <v>43</v>
      </c>
      <c r="CR6" s="154"/>
      <c r="CS6" s="249"/>
      <c r="CT6" s="249"/>
      <c r="CU6" s="985">
        <f>IF(CI6="","",RANK(CT11,CT11:CT65,0))</f>
        <v>5</v>
      </c>
      <c r="CW6">
        <f>COUNT(CI6:CI10,CI12:CI16,CI18:CI22,CI24:CI28,CI30:CI34,CI36:CI40,CI42:CI46,CI48:CI52,CI54:CI58,CI60:CI64)</f>
        <v>50</v>
      </c>
      <c r="CX6" s="155">
        <v>1</v>
      </c>
      <c r="CY6" s="156" t="str">
        <f>IF(CW6&lt;1,"",VLOOKUP(1,CE6:CQ65,4,FALSE))</f>
        <v>POSPÍŠIL VÁCLAV</v>
      </c>
      <c r="CZ6" s="155">
        <f>IF(CW6&lt;1,"",VLOOKUP(1,CE6:CQ65,10,FALSE))</f>
        <v>901</v>
      </c>
      <c r="DA6" s="8"/>
      <c r="DB6" s="3"/>
      <c r="DC6">
        <f>IF(DG6="","",DO6)</f>
        <v>26</v>
      </c>
      <c r="DD6" s="979">
        <v>1</v>
      </c>
      <c r="DE6" s="988" t="s">
        <v>160</v>
      </c>
      <c r="DF6" s="625" t="s">
        <v>36</v>
      </c>
      <c r="DG6" s="346">
        <v>136</v>
      </c>
      <c r="DH6" s="346">
        <v>154</v>
      </c>
      <c r="DI6" s="346">
        <v>125</v>
      </c>
      <c r="DJ6" s="346">
        <v>117</v>
      </c>
      <c r="DK6" s="346">
        <v>171</v>
      </c>
      <c r="DL6" s="165">
        <f>SUM(DG6:DK6)</f>
        <v>703</v>
      </c>
      <c r="DM6" s="165">
        <f t="shared" ref="DM6:DM16" si="4">MAX(DG6:DK6)</f>
        <v>171</v>
      </c>
      <c r="DN6" s="317">
        <f>SUM(DL6*1000)+DM6+0.5</f>
        <v>703171.5</v>
      </c>
      <c r="DO6" s="318">
        <f>IF(DG6="","",RANK(DN6,DN6:DN65,0))</f>
        <v>26</v>
      </c>
      <c r="DP6" s="154"/>
      <c r="DQ6" s="249"/>
      <c r="DR6" s="249"/>
      <c r="DS6" s="985">
        <f>IF(DG6="","",RANK(DR11,DR11:DR65,0))</f>
        <v>4</v>
      </c>
      <c r="DU6">
        <f>COUNT(DG6:DG10,DG12:DG16,DG18:DG22,DG24:DG28,DG30:DG34,DG36:DG40,DG42:DG46,DG48:DG52,DG54:DG58,DG60:DG64)</f>
        <v>50</v>
      </c>
      <c r="DV6" s="155">
        <v>1</v>
      </c>
      <c r="DW6" s="156" t="str">
        <f>IF(DU6&lt;1,"",VLOOKUP(1,DC6:DO65,4,FALSE))</f>
        <v>Krupa Jozef</v>
      </c>
      <c r="DX6" s="155">
        <f>IF(DU6&lt;1,"",VLOOKUP(1,DC6:DO65,10,FALSE))</f>
        <v>959</v>
      </c>
      <c r="DY6" s="8"/>
      <c r="DZ6" s="3"/>
      <c r="EA6">
        <f>IF(EE6="","",EM6)</f>
        <v>39</v>
      </c>
      <c r="EB6" s="995">
        <v>1</v>
      </c>
      <c r="EC6" s="1002" t="s">
        <v>138</v>
      </c>
      <c r="ED6" s="612" t="s">
        <v>19</v>
      </c>
      <c r="EE6" s="618">
        <v>116</v>
      </c>
      <c r="EF6" s="619">
        <v>111</v>
      </c>
      <c r="EG6" s="619">
        <v>131</v>
      </c>
      <c r="EH6" s="619">
        <v>120</v>
      </c>
      <c r="EI6" s="619">
        <v>148</v>
      </c>
      <c r="EJ6" s="620">
        <f>SUM(EE6:EI6)</f>
        <v>626</v>
      </c>
      <c r="EK6" s="165">
        <f t="shared" ref="EK6:EK16" si="5">MAX(EE6:EI6)</f>
        <v>148</v>
      </c>
      <c r="EL6" s="317">
        <f>SUM(EJ6*1000)+EK6+0.5</f>
        <v>626148.5</v>
      </c>
      <c r="EM6" s="318">
        <f>IF(EE6="","",RANK(EL6,EL6:EL65,0))</f>
        <v>39</v>
      </c>
      <c r="EN6" s="165"/>
      <c r="EO6" s="249"/>
      <c r="EP6" s="249"/>
      <c r="EQ6" s="991">
        <f>IF(EE6="","",RANK(EP11,EP11:EP65,0))</f>
        <v>9</v>
      </c>
      <c r="ES6">
        <f>COUNT(EE6:EE10,EE12:EE16,EE18:EE22,EE24:EE28,EE30:EE34,EE36:EE40,EE42:EE46,EE48:EE52,EE54:EE58,EE60:EE64)</f>
        <v>50</v>
      </c>
      <c r="ET6" s="155">
        <v>1</v>
      </c>
      <c r="EU6" s="156" t="str">
        <f>IF(ES6&lt;1,"",VLOOKUP(1,EA6:EM65,4,FALSE))</f>
        <v>Šafařík Luděk</v>
      </c>
      <c r="EV6" s="155">
        <f>IF(ES6&lt;1,"",VLOOKUP(1,EA6:EM65,10,FALSE))</f>
        <v>962</v>
      </c>
      <c r="EW6" s="8"/>
      <c r="EX6" s="8"/>
      <c r="EY6">
        <f>IF(FC6="","",FK6)</f>
        <v>15</v>
      </c>
      <c r="EZ6" s="995">
        <v>1</v>
      </c>
      <c r="FA6" s="1048" t="s">
        <v>197</v>
      </c>
      <c r="FB6" s="775" t="s">
        <v>68</v>
      </c>
      <c r="FC6" s="784">
        <v>146</v>
      </c>
      <c r="FD6" s="784">
        <v>135</v>
      </c>
      <c r="FE6" s="784">
        <v>181</v>
      </c>
      <c r="FF6" s="784">
        <v>163</v>
      </c>
      <c r="FG6" s="821">
        <v>165</v>
      </c>
      <c r="FH6" s="819">
        <f>SUM(FC6:FG6)</f>
        <v>790</v>
      </c>
      <c r="FI6" s="165">
        <f t="shared" ref="FI6:FI16" si="6">MAX(FC6:FG6)</f>
        <v>181</v>
      </c>
      <c r="FJ6" s="317">
        <f>SUM(FH6*1000)+FI6+0.5</f>
        <v>790181.5</v>
      </c>
      <c r="FK6" s="318">
        <f>IF(FC6="","",RANK(FJ6,FJ6:FJ65,0))</f>
        <v>15</v>
      </c>
      <c r="FL6" s="165"/>
      <c r="FM6" s="249"/>
      <c r="FN6" s="249"/>
      <c r="FO6" s="994">
        <f>IF(FC6="","",RANK(FN11,FN11:FN65,0))</f>
        <v>3</v>
      </c>
      <c r="FQ6">
        <f>COUNT(FC6:FC10,FC12:FC16,FC18:FC22,FC24:FC28,FC30:FC34,FC36:FC40,FC42:FC46,FC48:FC52,FC54:FC58,FC60:FC64)</f>
        <v>50</v>
      </c>
      <c r="FR6" s="34">
        <v>1</v>
      </c>
      <c r="FS6" s="156" t="str">
        <f>IF(FQ6&lt;1,"",VLOOKUP(1,EY6:FL65,4,FALSE))</f>
        <v>Froněk Martin</v>
      </c>
      <c r="FT6" s="155">
        <f>IF(FQ6&lt;1,"",VLOOKUP(1,EY6:FL65,10,FALSE))</f>
        <v>893</v>
      </c>
      <c r="FU6" s="8"/>
      <c r="FW6">
        <f>IF(GA6="","",GI6)</f>
        <v>3</v>
      </c>
      <c r="FX6" s="979">
        <v>1</v>
      </c>
      <c r="FY6" s="982" t="s">
        <v>138</v>
      </c>
      <c r="FZ6" s="157"/>
      <c r="GA6" s="346">
        <v>1</v>
      </c>
      <c r="GB6" s="346">
        <v>1</v>
      </c>
      <c r="GC6" s="346">
        <v>1</v>
      </c>
      <c r="GD6" s="346"/>
      <c r="GE6" s="346"/>
      <c r="GF6" s="165">
        <f>SUM(GA6:GE6)</f>
        <v>3</v>
      </c>
      <c r="GG6" s="165">
        <f t="shared" ref="GG6:GG16" si="7">MAX(GA6:GE6)</f>
        <v>1</v>
      </c>
      <c r="GH6" s="317">
        <f>SUM(GF6*1000)+GG6+0.5</f>
        <v>3001.5</v>
      </c>
      <c r="GI6" s="318">
        <f>IF(GA6="","",RANK(GH6,GH6:GH70,0))</f>
        <v>3</v>
      </c>
      <c r="GJ6" s="154"/>
      <c r="GK6" s="249"/>
      <c r="GL6" s="249"/>
      <c r="GM6" s="985">
        <f>IF(GA6="","",RANK(GL11,GL11:GL71,0))</f>
        <v>3</v>
      </c>
      <c r="GO6">
        <f>COUNT(GA6:GA10,GA12:GA16,GA18:GA22,GA24:GA28,GA30:GA34,GA36:GA40,GA42:GA46,GA48:GA52,GA54:GA58,GA60:GA64,GA66:GA70)</f>
        <v>3</v>
      </c>
      <c r="GP6" s="155">
        <v>1</v>
      </c>
      <c r="GQ6" s="156">
        <f>IF(GO6&lt;1,"",VLOOKUP(1,FW6:GI70,4,FALSE))</f>
        <v>0</v>
      </c>
      <c r="GR6" s="155">
        <f>IF(GO6&lt;1,"",VLOOKUP(1,FW6:GI70,10,FALSE))</f>
        <v>3</v>
      </c>
    </row>
    <row r="7" spans="1:200" ht="15" customHeight="1">
      <c r="A7" s="917"/>
      <c r="B7" s="996" t="s">
        <v>140</v>
      </c>
      <c r="C7" s="996"/>
      <c r="D7" s="997" t="s">
        <v>141</v>
      </c>
      <c r="E7" s="917"/>
      <c r="F7" s="915"/>
      <c r="G7" s="915"/>
      <c r="H7" s="915"/>
      <c r="I7" s="915"/>
      <c r="J7" s="915"/>
      <c r="K7" s="915"/>
      <c r="L7" s="915"/>
      <c r="M7" s="915"/>
      <c r="O7">
        <f>IF(S7="","",AA7)</f>
        <v>34</v>
      </c>
      <c r="P7" s="980"/>
      <c r="Q7" s="983"/>
      <c r="R7" s="158" t="s">
        <v>142</v>
      </c>
      <c r="S7" s="319">
        <v>137</v>
      </c>
      <c r="T7" s="319">
        <v>116</v>
      </c>
      <c r="U7" s="319">
        <v>134</v>
      </c>
      <c r="V7" s="319">
        <v>122</v>
      </c>
      <c r="W7" s="319">
        <v>122</v>
      </c>
      <c r="X7" s="159">
        <f>SUM(S7:W7)</f>
        <v>631</v>
      </c>
      <c r="Y7" s="165">
        <f t="shared" si="0"/>
        <v>137</v>
      </c>
      <c r="Z7" s="317">
        <f>SUM(X7*1000)+Y7+0.49</f>
        <v>631137.49</v>
      </c>
      <c r="AA7" s="320">
        <f>IF(S7="","",RANK(Z7,Z6:Z65,0))</f>
        <v>34</v>
      </c>
      <c r="AB7" s="159"/>
      <c r="AC7" s="986"/>
      <c r="AF7" s="155">
        <f>SUM(AF6+1)</f>
        <v>2</v>
      </c>
      <c r="AG7" s="156" t="str">
        <f>IF(AE6&lt;2,"",VLOOKUP(2,O6:AA65,4,FALSE))</f>
        <v>MAŠÁT PETR</v>
      </c>
      <c r="AH7" s="155">
        <f>IF(AE6&lt;2,"",VLOOKUP(2,O6:AA65,10,FALSE))</f>
        <v>895</v>
      </c>
      <c r="AI7" s="8"/>
      <c r="AK7">
        <f>IF(AO7="","",AW7)</f>
        <v>9</v>
      </c>
      <c r="AL7" s="980"/>
      <c r="AM7" s="983"/>
      <c r="AN7" s="237" t="s">
        <v>198</v>
      </c>
      <c r="AO7" s="327">
        <v>166</v>
      </c>
      <c r="AP7" s="319">
        <v>144</v>
      </c>
      <c r="AQ7" s="319">
        <v>148</v>
      </c>
      <c r="AR7" s="319">
        <v>168</v>
      </c>
      <c r="AS7" s="319">
        <v>205</v>
      </c>
      <c r="AT7" s="159">
        <f>SUM(AO7:AS7)</f>
        <v>831</v>
      </c>
      <c r="AU7" s="165">
        <f t="shared" si="1"/>
        <v>205</v>
      </c>
      <c r="AV7" s="317">
        <f>SUM(AT7*1000)+AU7+0.49</f>
        <v>831205.49</v>
      </c>
      <c r="AW7" s="320">
        <f>IF(AO7="","",RANK(AV7,AV6:AV65,0))</f>
        <v>9</v>
      </c>
      <c r="AX7" s="159"/>
      <c r="AY7" s="986"/>
      <c r="BB7" s="155">
        <f>SUM(BB6+1)</f>
        <v>2</v>
      </c>
      <c r="BC7" s="156" t="str">
        <f>IF(BA6&lt;2,"",VLOOKUP(2,AK6:AW65,4,FALSE))</f>
        <v>KOCŮR JAROSLAV</v>
      </c>
      <c r="BD7" s="155">
        <f>IF(BA6&lt;2,"",VLOOKUP(2,AK6:AW65,10,FALSE))</f>
        <v>915</v>
      </c>
      <c r="BE7" s="8"/>
      <c r="BG7">
        <f>IF(BK7="","",BS7)</f>
        <v>9</v>
      </c>
      <c r="BH7" s="980"/>
      <c r="BI7" s="983"/>
      <c r="BJ7" s="257" t="s">
        <v>237</v>
      </c>
      <c r="BK7" s="344">
        <v>135</v>
      </c>
      <c r="BL7" s="345">
        <v>180</v>
      </c>
      <c r="BM7" s="345">
        <v>184</v>
      </c>
      <c r="BN7" s="345">
        <v>157</v>
      </c>
      <c r="BO7" s="345">
        <v>168</v>
      </c>
      <c r="BP7" s="159">
        <f>SUM(BK7:BO7)</f>
        <v>824</v>
      </c>
      <c r="BQ7" s="165">
        <f t="shared" si="2"/>
        <v>184</v>
      </c>
      <c r="BR7" s="317">
        <f>SUM(BP7*1000)+BQ7+0.49</f>
        <v>824184.49</v>
      </c>
      <c r="BS7" s="320">
        <f>IF(BK7="","",RANK(BR7,BR6:BR65,0))</f>
        <v>9</v>
      </c>
      <c r="BT7" s="159"/>
      <c r="BU7" s="250"/>
      <c r="BV7" s="250"/>
      <c r="BW7" s="986"/>
      <c r="BZ7" s="155">
        <f>SUM(BZ6+1)</f>
        <v>2</v>
      </c>
      <c r="CA7" s="156" t="str">
        <f>IF(BY6&lt;2,"",VLOOKUP(2,BG6:BS65,4,FALSE))</f>
        <v>ŠAFAŘÍK LUDĚK</v>
      </c>
      <c r="CB7" s="155">
        <f>IF(BY6&lt;2,"",VLOOKUP(2,BG6:BS65,10,FALSE))</f>
        <v>897</v>
      </c>
      <c r="CC7" s="8"/>
      <c r="CE7">
        <f>IF(CI7="","",CQ7)</f>
        <v>22</v>
      </c>
      <c r="CF7" s="980"/>
      <c r="CG7" s="983"/>
      <c r="CH7" s="271" t="s">
        <v>232</v>
      </c>
      <c r="CI7" s="319">
        <v>123</v>
      </c>
      <c r="CJ7" s="319">
        <v>129</v>
      </c>
      <c r="CK7" s="319">
        <v>140</v>
      </c>
      <c r="CL7" s="319">
        <v>212</v>
      </c>
      <c r="CM7" s="319">
        <v>99</v>
      </c>
      <c r="CN7" s="159">
        <f>SUM(CI7:CM7)</f>
        <v>703</v>
      </c>
      <c r="CO7" s="165">
        <f t="shared" si="3"/>
        <v>212</v>
      </c>
      <c r="CP7" s="317">
        <f>SUM(CN7*1000)+CO7+0.49</f>
        <v>703212.49</v>
      </c>
      <c r="CQ7" s="320">
        <f>IF(CI7="","",RANK(CP7,CP6:CP65,0))</f>
        <v>22</v>
      </c>
      <c r="CR7" s="159"/>
      <c r="CS7" s="250"/>
      <c r="CT7" s="250"/>
      <c r="CU7" s="986"/>
      <c r="CX7" s="155">
        <f>SUM(CX6+1)</f>
        <v>2</v>
      </c>
      <c r="CY7" s="156" t="str">
        <f>IF(CW6&lt;2,"",VLOOKUP(2,CE6:CQ65,4,FALSE))</f>
        <v>ŠAFAŘÍK LUDĚK</v>
      </c>
      <c r="CZ7" s="155">
        <f>IF(CW6&lt;2,"",VLOOKUP(2,CE6:CQ65,10,FALSE))</f>
        <v>883</v>
      </c>
      <c r="DA7" s="8"/>
      <c r="DC7">
        <f>IF(DG7="","",DO7)</f>
        <v>18</v>
      </c>
      <c r="DD7" s="980"/>
      <c r="DE7" s="989"/>
      <c r="DF7" s="543" t="s">
        <v>288</v>
      </c>
      <c r="DG7" s="347">
        <v>128</v>
      </c>
      <c r="DH7" s="347">
        <v>169</v>
      </c>
      <c r="DI7" s="347">
        <v>171</v>
      </c>
      <c r="DJ7" s="347">
        <v>98</v>
      </c>
      <c r="DK7" s="347">
        <v>159</v>
      </c>
      <c r="DL7" s="159">
        <f>SUM(DG7:DK7)</f>
        <v>725</v>
      </c>
      <c r="DM7" s="165">
        <f t="shared" si="4"/>
        <v>171</v>
      </c>
      <c r="DN7" s="317">
        <f>SUM(DL7*1000)+DM7+0.49</f>
        <v>725171.49</v>
      </c>
      <c r="DO7" s="320">
        <f>IF(DG7="","",RANK(DN7,DN6:DN65,0))</f>
        <v>18</v>
      </c>
      <c r="DP7" s="159"/>
      <c r="DQ7" s="250"/>
      <c r="DR7" s="250"/>
      <c r="DS7" s="986"/>
      <c r="DV7" s="155">
        <f>SUM(DV6+1)</f>
        <v>2</v>
      </c>
      <c r="DW7" s="156" t="str">
        <f>IF(DU6&lt;2,"",VLOOKUP(2,DC6:DO65,4,FALSE))</f>
        <v>Holkup Jan</v>
      </c>
      <c r="DX7" s="155">
        <f>IF(DU6&lt;2,"",VLOOKUP(2,DC6:DO65,10,FALSE))</f>
        <v>912</v>
      </c>
      <c r="DY7" s="8"/>
      <c r="EA7">
        <f>IF(EE7="","",EM7)</f>
        <v>29</v>
      </c>
      <c r="EB7" s="980"/>
      <c r="EC7" s="1003"/>
      <c r="ED7" s="160" t="s">
        <v>8</v>
      </c>
      <c r="EE7" s="621">
        <v>127</v>
      </c>
      <c r="EF7" s="622">
        <v>139</v>
      </c>
      <c r="EG7" s="622">
        <v>146</v>
      </c>
      <c r="EH7" s="622">
        <v>120</v>
      </c>
      <c r="EI7" s="622">
        <v>141</v>
      </c>
      <c r="EJ7" s="623">
        <f>SUM(EE7:EI7)</f>
        <v>673</v>
      </c>
      <c r="EK7" s="165">
        <f t="shared" si="5"/>
        <v>146</v>
      </c>
      <c r="EL7" s="317">
        <f>SUM(EJ7*1000)+EK7+0.49</f>
        <v>673146.49</v>
      </c>
      <c r="EM7" s="320">
        <f>IF(EE7="","",RANK(EL7,EL6:EL65,0))</f>
        <v>29</v>
      </c>
      <c r="EN7" s="159"/>
      <c r="EO7" s="250"/>
      <c r="EP7" s="250"/>
      <c r="EQ7" s="992"/>
      <c r="ET7" s="155">
        <f>SUM(ET6+1)</f>
        <v>2</v>
      </c>
      <c r="EU7" s="156" t="str">
        <f>IF(ES6&lt;2,"",VLOOKUP(2,EA6:EM65,4,FALSE))</f>
        <v>Lazur Vladimír</v>
      </c>
      <c r="EV7" s="155">
        <f>IF(ES6&lt;2,"",VLOOKUP(2,EA6:EM65,10,FALSE))</f>
        <v>901</v>
      </c>
      <c r="EW7" s="8"/>
      <c r="EX7" s="8"/>
      <c r="EY7">
        <f>IF(FC7="","",FK7)</f>
        <v>25</v>
      </c>
      <c r="EZ7" s="980"/>
      <c r="FA7" s="1049"/>
      <c r="FB7" s="776" t="s">
        <v>95</v>
      </c>
      <c r="FC7" s="681">
        <v>121</v>
      </c>
      <c r="FD7" s="681">
        <v>165</v>
      </c>
      <c r="FE7" s="681">
        <v>137</v>
      </c>
      <c r="FF7" s="681">
        <v>116</v>
      </c>
      <c r="FG7" s="681">
        <v>148</v>
      </c>
      <c r="FH7" s="820">
        <f>SUM(FC7:FG7)</f>
        <v>687</v>
      </c>
      <c r="FI7" s="165">
        <f t="shared" si="6"/>
        <v>165</v>
      </c>
      <c r="FJ7" s="317">
        <f>SUM(FH7*1000)+FI7+0.49</f>
        <v>687165.49</v>
      </c>
      <c r="FK7" s="320">
        <f>IF(FC7="","",RANK(FJ7,FJ6:FJ65,0))</f>
        <v>25</v>
      </c>
      <c r="FL7" s="159"/>
      <c r="FM7" s="250"/>
      <c r="FN7" s="250"/>
      <c r="FO7" s="994"/>
      <c r="FP7" s="8"/>
      <c r="FQ7" s="804"/>
      <c r="FR7" s="810">
        <f>SUM(FR6+1)</f>
        <v>2</v>
      </c>
      <c r="FS7" s="805" t="str">
        <f>IF(FQ6&lt;2,"",VLOOKUP(2,EY6:FL65,4,FALSE))</f>
        <v>Novotný Lukáš</v>
      </c>
      <c r="FT7" s="806">
        <f>IF(FQ6&lt;2,"",VLOOKUP(2,EY6:FL65,10,FALSE))</f>
        <v>888</v>
      </c>
      <c r="FU7" s="8"/>
      <c r="FW7" t="str">
        <f>IF(GA7="","",GI7)</f>
        <v/>
      </c>
      <c r="FX7" s="980"/>
      <c r="FY7" s="983"/>
      <c r="FZ7" s="160"/>
      <c r="GA7" s="347"/>
      <c r="GB7" s="347"/>
      <c r="GC7" s="347"/>
      <c r="GD7" s="347"/>
      <c r="GE7" s="347"/>
      <c r="GF7" s="159">
        <f>SUM(GA7:GE7)</f>
        <v>0</v>
      </c>
      <c r="GG7" s="165">
        <f t="shared" si="7"/>
        <v>0</v>
      </c>
      <c r="GH7" s="317">
        <f>SUM(GF7*1000)+GG7+0.49</f>
        <v>0.49</v>
      </c>
      <c r="GI7" s="320" t="str">
        <f>IF(GA7="","",RANK(GH7,GH6:GH70,0))</f>
        <v/>
      </c>
      <c r="GJ7" s="159"/>
      <c r="GK7" s="250"/>
      <c r="GL7" s="250"/>
      <c r="GM7" s="986"/>
      <c r="GP7" s="155">
        <f>SUM(GP6+1)</f>
        <v>2</v>
      </c>
      <c r="GQ7" s="156">
        <f>IF(GO6&lt;2,"",VLOOKUP(2,FW6:GI70,4,FALSE))</f>
        <v>0</v>
      </c>
      <c r="GR7" s="155">
        <f>IF(GO6&lt;2,"",VLOOKUP(2,FW6:GI70,10,FALSE))</f>
        <v>3</v>
      </c>
    </row>
    <row r="8" spans="1:200" ht="15" customHeight="1">
      <c r="A8" s="917"/>
      <c r="B8" s="996"/>
      <c r="C8" s="996"/>
      <c r="D8" s="997"/>
      <c r="E8" s="917"/>
      <c r="F8" s="915"/>
      <c r="G8" s="915"/>
      <c r="H8" s="915"/>
      <c r="I8" s="915"/>
      <c r="J8" s="915"/>
      <c r="K8" s="915"/>
      <c r="L8" s="915"/>
      <c r="M8" s="915"/>
      <c r="O8">
        <f>IF(S8="","",AA8)</f>
        <v>19</v>
      </c>
      <c r="P8" s="980"/>
      <c r="Q8" s="983"/>
      <c r="R8" s="158" t="s">
        <v>143</v>
      </c>
      <c r="S8" s="319">
        <v>134</v>
      </c>
      <c r="T8" s="319">
        <v>135</v>
      </c>
      <c r="U8" s="319">
        <v>139</v>
      </c>
      <c r="V8" s="319">
        <v>172</v>
      </c>
      <c r="W8" s="319">
        <v>140</v>
      </c>
      <c r="X8" s="159">
        <f>SUM(S8:W8)</f>
        <v>720</v>
      </c>
      <c r="Y8" s="165">
        <f t="shared" si="0"/>
        <v>172</v>
      </c>
      <c r="Z8" s="317">
        <f>SUM(X8*1000)+Y8+0.48</f>
        <v>720172.48</v>
      </c>
      <c r="AA8" s="320">
        <f>IF(S8="","",RANK(Z8,Z6:Z65,0))</f>
        <v>19</v>
      </c>
      <c r="AB8" s="159"/>
      <c r="AC8" s="986"/>
      <c r="AF8" s="155">
        <f t="shared" ref="AF8:AF55" si="8">SUM(AF7+1)</f>
        <v>3</v>
      </c>
      <c r="AG8" s="156" t="str">
        <f>IF(AE6&lt;3,"",VLOOKUP(3,O6:AA65,4,FALSE))</f>
        <v>POSPÍŠIL VÁCLAV</v>
      </c>
      <c r="AH8" s="155">
        <f>IF(AE6&lt;3,"",VLOOKUP(3,O6:AA65,10,FALSE))</f>
        <v>881</v>
      </c>
      <c r="AI8" s="8"/>
      <c r="AK8">
        <f>IF(AO8="","",AW8)</f>
        <v>8</v>
      </c>
      <c r="AL8" s="980"/>
      <c r="AM8" s="983"/>
      <c r="AN8" s="237" t="s">
        <v>199</v>
      </c>
      <c r="AO8" s="327">
        <v>164</v>
      </c>
      <c r="AP8" s="319">
        <v>179</v>
      </c>
      <c r="AQ8" s="319">
        <v>180</v>
      </c>
      <c r="AR8" s="319">
        <v>147</v>
      </c>
      <c r="AS8" s="319">
        <v>163</v>
      </c>
      <c r="AT8" s="159">
        <f>SUM(AO8:AS8)</f>
        <v>833</v>
      </c>
      <c r="AU8" s="165">
        <f t="shared" si="1"/>
        <v>180</v>
      </c>
      <c r="AV8" s="317">
        <f>SUM(AT8*1000)+AU8+0.48</f>
        <v>833180.48</v>
      </c>
      <c r="AW8" s="320">
        <f>IF(AO8="","",RANK(AV8,AV6:AV65,0))</f>
        <v>8</v>
      </c>
      <c r="AX8" s="159"/>
      <c r="AY8" s="986"/>
      <c r="BB8" s="155">
        <f t="shared" ref="BB8:BB55" si="9">SUM(BB7+1)</f>
        <v>3</v>
      </c>
      <c r="BC8" s="156" t="str">
        <f>IF(BA6&lt;3,"",VLOOKUP(3,AK6:AW65,4,FALSE))</f>
        <v>ŠAFAŘÍK LUDĚK</v>
      </c>
      <c r="BD8" s="155">
        <f>IF(BA6&lt;3,"",VLOOKUP(3,AK6:AW65,10,FALSE))</f>
        <v>905</v>
      </c>
      <c r="BE8" s="8"/>
      <c r="BG8">
        <f>IF(BK8="","",BS8)</f>
        <v>36</v>
      </c>
      <c r="BH8" s="980"/>
      <c r="BI8" s="983"/>
      <c r="BJ8" s="257" t="s">
        <v>245</v>
      </c>
      <c r="BK8" s="344">
        <v>100</v>
      </c>
      <c r="BL8" s="345">
        <v>138</v>
      </c>
      <c r="BM8" s="345">
        <v>148</v>
      </c>
      <c r="BN8" s="345">
        <v>145</v>
      </c>
      <c r="BO8" s="345">
        <v>134</v>
      </c>
      <c r="BP8" s="159">
        <f>SUM(BK8:BO8)</f>
        <v>665</v>
      </c>
      <c r="BQ8" s="165">
        <f t="shared" si="2"/>
        <v>148</v>
      </c>
      <c r="BR8" s="317">
        <f>SUM(BP8*1000)+BQ8+0.48</f>
        <v>665148.48</v>
      </c>
      <c r="BS8" s="320">
        <f>IF(BK8="","",RANK(BR8,BR6:BR65,0))</f>
        <v>36</v>
      </c>
      <c r="BT8" s="159"/>
      <c r="BU8" s="250"/>
      <c r="BV8" s="250"/>
      <c r="BW8" s="986"/>
      <c r="BZ8" s="155">
        <f t="shared" ref="BZ8:BZ55" si="10">SUM(BZ7+1)</f>
        <v>3</v>
      </c>
      <c r="CA8" s="156" t="str">
        <f>IF(BY6&lt;3,"",VLOOKUP(3,BG6:BS65,4,FALSE))</f>
        <v>ONDŘICH FRANTIŠEK</v>
      </c>
      <c r="CB8" s="155">
        <f>IF(BY6&lt;3,"",VLOOKUP(3,BG6:BS65,10,FALSE))</f>
        <v>895</v>
      </c>
      <c r="CC8" s="8"/>
      <c r="CE8">
        <f>IF(CI8="","",CQ8)</f>
        <v>14</v>
      </c>
      <c r="CF8" s="980"/>
      <c r="CG8" s="983"/>
      <c r="CH8" s="271" t="s">
        <v>182</v>
      </c>
      <c r="CI8" s="319">
        <v>153</v>
      </c>
      <c r="CJ8" s="319">
        <v>151</v>
      </c>
      <c r="CK8" s="319">
        <v>105</v>
      </c>
      <c r="CL8" s="319">
        <v>179</v>
      </c>
      <c r="CM8" s="319">
        <v>166</v>
      </c>
      <c r="CN8" s="159">
        <f>SUM(CI8:CM8)</f>
        <v>754</v>
      </c>
      <c r="CO8" s="165">
        <f t="shared" si="3"/>
        <v>179</v>
      </c>
      <c r="CP8" s="317">
        <f>SUM(CN8*1000)+CO8+0.48</f>
        <v>754179.48</v>
      </c>
      <c r="CQ8" s="320">
        <f>IF(CI8="","",RANK(CP8,CP6:CP65,0))</f>
        <v>14</v>
      </c>
      <c r="CR8" s="159"/>
      <c r="CS8" s="250"/>
      <c r="CT8" s="250"/>
      <c r="CU8" s="986"/>
      <c r="CX8" s="155">
        <f t="shared" ref="CX8:CX55" si="11">SUM(CX7+1)</f>
        <v>3</v>
      </c>
      <c r="CY8" s="156" t="str">
        <f>IF(CW6&lt;3,"",VLOOKUP(3,CE6:CQ65,4,FALSE))</f>
        <v>KRUPA JOZEF</v>
      </c>
      <c r="CZ8" s="155">
        <f>IF(CW6&lt;3,"",VLOOKUP(3,CE6:CQ65,10,FALSE))</f>
        <v>883</v>
      </c>
      <c r="DA8" s="8"/>
      <c r="DC8">
        <f>IF(DG8="","",DO8)</f>
        <v>21</v>
      </c>
      <c r="DD8" s="980"/>
      <c r="DE8" s="989"/>
      <c r="DF8" s="543" t="s">
        <v>290</v>
      </c>
      <c r="DG8" s="347">
        <v>143</v>
      </c>
      <c r="DH8" s="347">
        <v>185</v>
      </c>
      <c r="DI8" s="347">
        <v>122</v>
      </c>
      <c r="DJ8" s="347">
        <v>118</v>
      </c>
      <c r="DK8" s="347">
        <v>153</v>
      </c>
      <c r="DL8" s="159">
        <f>SUM(DG8:DK8)</f>
        <v>721</v>
      </c>
      <c r="DM8" s="165">
        <f t="shared" si="4"/>
        <v>185</v>
      </c>
      <c r="DN8" s="317">
        <f>SUM(DL8*1000)+DM8+0.48</f>
        <v>721185.48</v>
      </c>
      <c r="DO8" s="320">
        <f>IF(DG8="","",RANK(DN8,DN6:DN65,0))</f>
        <v>21</v>
      </c>
      <c r="DP8" s="159"/>
      <c r="DQ8" s="250"/>
      <c r="DR8" s="250"/>
      <c r="DS8" s="986"/>
      <c r="DV8" s="155">
        <f t="shared" ref="DV8:DV55" si="12">SUM(DV7+1)</f>
        <v>3</v>
      </c>
      <c r="DW8" s="156" t="str">
        <f>IF(DU6&lt;3,"",VLOOKUP(3,DC6:DO65,4,FALSE))</f>
        <v>Ondřich František</v>
      </c>
      <c r="DX8" s="155">
        <f>IF(DU6&lt;3,"",VLOOKUP(3,DC6:DO65,10,FALSE))</f>
        <v>858</v>
      </c>
      <c r="DY8" s="8"/>
      <c r="EA8">
        <f>IF(EE8="","",EM8)</f>
        <v>43</v>
      </c>
      <c r="EB8" s="980"/>
      <c r="EC8" s="1003"/>
      <c r="ED8" s="617" t="s">
        <v>77</v>
      </c>
      <c r="EE8" s="621">
        <v>144</v>
      </c>
      <c r="EF8" s="622">
        <v>112</v>
      </c>
      <c r="EG8" s="622">
        <v>139</v>
      </c>
      <c r="EH8" s="622">
        <v>100</v>
      </c>
      <c r="EI8" s="622">
        <v>103</v>
      </c>
      <c r="EJ8" s="623">
        <f>SUM(EE8:EI8)</f>
        <v>598</v>
      </c>
      <c r="EK8" s="165">
        <f t="shared" si="5"/>
        <v>144</v>
      </c>
      <c r="EL8" s="317">
        <f>SUM(EJ8*1000)+EK8+0.48</f>
        <v>598144.48</v>
      </c>
      <c r="EM8" s="320">
        <f>IF(EE8="","",RANK(EL8,EL6:EL65,0))</f>
        <v>43</v>
      </c>
      <c r="EN8" s="159"/>
      <c r="EO8" s="250"/>
      <c r="EP8" s="250"/>
      <c r="EQ8" s="992"/>
      <c r="ET8" s="155">
        <f t="shared" ref="ET8:ET55" si="13">SUM(ET7+1)</f>
        <v>3</v>
      </c>
      <c r="EU8" s="156" t="str">
        <f>IF(ES6&lt;3,"",VLOOKUP(3,EA6:EM65,4,FALSE))</f>
        <v>Kalfiřt Petr</v>
      </c>
      <c r="EV8" s="155">
        <f>IF(ES6&lt;3,"",VLOOKUP(3,EA6:EM65,10,FALSE))</f>
        <v>894</v>
      </c>
      <c r="EW8" s="8"/>
      <c r="EX8" s="8"/>
      <c r="EY8">
        <f>IF(FC8="","",FK8)</f>
        <v>2</v>
      </c>
      <c r="EZ8" s="980"/>
      <c r="FA8" s="1049"/>
      <c r="FB8" s="776" t="s">
        <v>66</v>
      </c>
      <c r="FC8" s="681">
        <v>194</v>
      </c>
      <c r="FD8" s="681">
        <v>154</v>
      </c>
      <c r="FE8" s="681">
        <v>178</v>
      </c>
      <c r="FF8" s="681">
        <v>159</v>
      </c>
      <c r="FG8" s="681">
        <v>203</v>
      </c>
      <c r="FH8" s="820">
        <f>SUM(FC8:FG8)</f>
        <v>888</v>
      </c>
      <c r="FI8" s="165">
        <f t="shared" si="6"/>
        <v>203</v>
      </c>
      <c r="FJ8" s="317">
        <f>SUM(FH8*1000)+FI8+0.48</f>
        <v>888203.48</v>
      </c>
      <c r="FK8" s="320">
        <f>IF(FC8="","",RANK(FJ8,FJ6:FJ65,0))</f>
        <v>2</v>
      </c>
      <c r="FL8" s="159"/>
      <c r="FM8" s="250"/>
      <c r="FN8" s="250"/>
      <c r="FO8" s="994"/>
      <c r="FP8" s="8"/>
      <c r="FQ8" s="804"/>
      <c r="FR8" s="810">
        <f t="shared" ref="FR8:FR55" si="14">SUM(FR7+1)</f>
        <v>3</v>
      </c>
      <c r="FS8" s="805" t="str">
        <f>IF(FQ6&lt;3,"",VLOOKUP(3,EY6:FL65,4,FALSE))</f>
        <v>Lazur Vladimír</v>
      </c>
      <c r="FT8" s="806">
        <f>IF(FQ6&lt;3,"",VLOOKUP(3,EY6:FL65,10,FALSE))</f>
        <v>863</v>
      </c>
      <c r="FU8" s="8"/>
      <c r="FW8" t="str">
        <f>IF(GA8="","",GI8)</f>
        <v/>
      </c>
      <c r="FX8" s="980"/>
      <c r="FY8" s="983"/>
      <c r="FZ8" s="160"/>
      <c r="GA8" s="347"/>
      <c r="GB8" s="347"/>
      <c r="GC8" s="347"/>
      <c r="GD8" s="347"/>
      <c r="GE8" s="347"/>
      <c r="GF8" s="159">
        <f>SUM(GA8:GE8)</f>
        <v>0</v>
      </c>
      <c r="GG8" s="165">
        <f t="shared" si="7"/>
        <v>0</v>
      </c>
      <c r="GH8" s="317">
        <f>SUM(GF8*1000)+GG8+0.48</f>
        <v>0.48</v>
      </c>
      <c r="GI8" s="320" t="str">
        <f>IF(GA8="","",RANK(GH8,GH6:GH71,0))</f>
        <v/>
      </c>
      <c r="GJ8" s="159"/>
      <c r="GK8" s="250"/>
      <c r="GL8" s="250"/>
      <c r="GM8" s="986"/>
      <c r="GP8" s="155">
        <f t="shared" ref="GP8:GP60" si="15">SUM(GP7+1)</f>
        <v>3</v>
      </c>
      <c r="GQ8" s="156">
        <f>IF(GO6&lt;3,"",VLOOKUP(3,FW6:GI70,4,FALSE))</f>
        <v>0</v>
      </c>
      <c r="GR8" s="155">
        <f>IF(GO6&lt;3,"",VLOOKUP(3,FW6:GI70,10,FALSE))</f>
        <v>3</v>
      </c>
    </row>
    <row r="9" spans="1:200" ht="15" customHeight="1">
      <c r="A9" s="917"/>
      <c r="B9" s="998" t="s">
        <v>144</v>
      </c>
      <c r="C9" s="998"/>
      <c r="D9" s="999" t="s">
        <v>145</v>
      </c>
      <c r="E9" s="917"/>
      <c r="F9" s="915"/>
      <c r="G9" s="915"/>
      <c r="H9" s="915"/>
      <c r="I9" s="915"/>
      <c r="J9" s="915"/>
      <c r="K9" s="915"/>
      <c r="L9" s="915"/>
      <c r="M9" s="915"/>
      <c r="O9">
        <f>IF(S9="","",AA9)</f>
        <v>22</v>
      </c>
      <c r="P9" s="980"/>
      <c r="Q9" s="983"/>
      <c r="R9" s="158" t="s">
        <v>146</v>
      </c>
      <c r="S9" s="319">
        <v>134</v>
      </c>
      <c r="T9" s="319">
        <v>157</v>
      </c>
      <c r="U9" s="319">
        <v>147</v>
      </c>
      <c r="V9" s="319">
        <v>133</v>
      </c>
      <c r="W9" s="319">
        <v>134</v>
      </c>
      <c r="X9" s="159">
        <f>SUM(S9:W9)</f>
        <v>705</v>
      </c>
      <c r="Y9" s="165">
        <f t="shared" si="0"/>
        <v>157</v>
      </c>
      <c r="Z9" s="317">
        <f>SUM(X9*1000)+Y9+0.47</f>
        <v>705157.47</v>
      </c>
      <c r="AA9" s="320">
        <f>IF(S9="","",RANK(Z9,Z6:Z65,0))</f>
        <v>22</v>
      </c>
      <c r="AB9" s="159"/>
      <c r="AC9" s="986"/>
      <c r="AF9" s="155">
        <f t="shared" si="8"/>
        <v>4</v>
      </c>
      <c r="AG9" s="156" t="str">
        <f>IF(AE6&lt;4,"",VLOOKUP(4,O6:AA65,4,FALSE))</f>
        <v>NOVOTNÝ LUKÁŠ</v>
      </c>
      <c r="AH9" s="155">
        <f>IF(AE6&lt;4,"",VLOOKUP(4,O6:AA65,10,FALSE))</f>
        <v>860</v>
      </c>
      <c r="AI9" s="8"/>
      <c r="AK9">
        <f>IF(AO9="","",AW9)</f>
        <v>13</v>
      </c>
      <c r="AL9" s="980"/>
      <c r="AM9" s="983"/>
      <c r="AN9" s="237" t="s">
        <v>200</v>
      </c>
      <c r="AO9" s="327">
        <v>170</v>
      </c>
      <c r="AP9" s="319">
        <v>137</v>
      </c>
      <c r="AQ9" s="319">
        <v>195</v>
      </c>
      <c r="AR9" s="319">
        <v>163</v>
      </c>
      <c r="AS9" s="319">
        <v>131</v>
      </c>
      <c r="AT9" s="159">
        <f>SUM(AO9:AS9)</f>
        <v>796</v>
      </c>
      <c r="AU9" s="165">
        <f t="shared" si="1"/>
        <v>195</v>
      </c>
      <c r="AV9" s="317">
        <f>SUM(AT9*1000)+AU9+0.47</f>
        <v>796195.47</v>
      </c>
      <c r="AW9" s="320">
        <f>IF(AO9="","",RANK(AV9,AV6:AV65,0))</f>
        <v>13</v>
      </c>
      <c r="AX9" s="159"/>
      <c r="AY9" s="986"/>
      <c r="BB9" s="155">
        <f t="shared" si="9"/>
        <v>4</v>
      </c>
      <c r="BC9" s="156" t="str">
        <f>IF(BA6&lt;4,"",VLOOKUP(4,AK6:AW65,4,FALSE))</f>
        <v>PODHOLA MARTIN</v>
      </c>
      <c r="BD9" s="155">
        <f>IF(BA6&lt;4,"",VLOOKUP(4,AK6:AW65,10,FALSE))</f>
        <v>896</v>
      </c>
      <c r="BE9" s="8"/>
      <c r="BG9">
        <f>IF(BK9="","",BS9)</f>
        <v>11</v>
      </c>
      <c r="BH9" s="980"/>
      <c r="BI9" s="983"/>
      <c r="BJ9" s="257" t="s">
        <v>189</v>
      </c>
      <c r="BK9" s="344">
        <v>153</v>
      </c>
      <c r="BL9" s="345">
        <v>182</v>
      </c>
      <c r="BM9" s="345">
        <v>168</v>
      </c>
      <c r="BN9" s="345">
        <v>148</v>
      </c>
      <c r="BO9" s="345">
        <v>160</v>
      </c>
      <c r="BP9" s="159">
        <f>SUM(BK9:BO9)</f>
        <v>811</v>
      </c>
      <c r="BQ9" s="165">
        <f t="shared" si="2"/>
        <v>182</v>
      </c>
      <c r="BR9" s="317">
        <f>SUM(BP9*1000)+BQ9+0.47</f>
        <v>811182.47</v>
      </c>
      <c r="BS9" s="320">
        <f>IF(BK9="","",RANK(BR9,BR6:BR65,0))</f>
        <v>11</v>
      </c>
      <c r="BT9" s="159"/>
      <c r="BU9" s="250"/>
      <c r="BV9" s="250"/>
      <c r="BW9" s="986"/>
      <c r="BZ9" s="155">
        <f t="shared" si="10"/>
        <v>4</v>
      </c>
      <c r="CA9" s="156" t="str">
        <f>IF(BY6&lt;4,"",VLOOKUP(4,BG6:BS65,4,FALSE))</f>
        <v>MAŠÁT PETR</v>
      </c>
      <c r="CB9" s="155">
        <f>IF(BY6&lt;4,"",VLOOKUP(4,BG6:BS65,10,FALSE))</f>
        <v>859</v>
      </c>
      <c r="CC9" s="8"/>
      <c r="CE9">
        <f>IF(CI9="","",CQ9)</f>
        <v>28</v>
      </c>
      <c r="CF9" s="980"/>
      <c r="CG9" s="983"/>
      <c r="CH9" s="271" t="s">
        <v>175</v>
      </c>
      <c r="CI9" s="319">
        <v>114</v>
      </c>
      <c r="CJ9" s="319">
        <v>144</v>
      </c>
      <c r="CK9" s="319">
        <v>168</v>
      </c>
      <c r="CL9" s="319">
        <v>134</v>
      </c>
      <c r="CM9" s="319">
        <v>106</v>
      </c>
      <c r="CN9" s="159">
        <f>SUM(CI9:CM9)</f>
        <v>666</v>
      </c>
      <c r="CO9" s="165">
        <f t="shared" si="3"/>
        <v>168</v>
      </c>
      <c r="CP9" s="317">
        <f>SUM(CN9*1000)+CO9+0.47</f>
        <v>666168.47</v>
      </c>
      <c r="CQ9" s="320">
        <f>IF(CI9="","",RANK(CP9,CP6:CP65,0))</f>
        <v>28</v>
      </c>
      <c r="CR9" s="159"/>
      <c r="CS9" s="250"/>
      <c r="CT9" s="250"/>
      <c r="CU9" s="986"/>
      <c r="CX9" s="155">
        <f t="shared" si="11"/>
        <v>4</v>
      </c>
      <c r="CY9" s="156" t="str">
        <f>IF(CW6&lt;4,"",VLOOKUP(4,CE6:CQ65,4,FALSE))</f>
        <v>MAŠÁT PETR</v>
      </c>
      <c r="CZ9" s="155">
        <f>IF(CW6&lt;4,"",VLOOKUP(4,CE6:CQ65,10,FALSE))</f>
        <v>854</v>
      </c>
      <c r="DA9" s="8"/>
      <c r="DC9">
        <f>IF(DG9="","",DO9)</f>
        <v>3</v>
      </c>
      <c r="DD9" s="980"/>
      <c r="DE9" s="989"/>
      <c r="DF9" s="543" t="s">
        <v>82</v>
      </c>
      <c r="DG9" s="347">
        <v>166</v>
      </c>
      <c r="DH9" s="347">
        <v>154</v>
      </c>
      <c r="DI9" s="347">
        <v>194</v>
      </c>
      <c r="DJ9" s="347">
        <v>176</v>
      </c>
      <c r="DK9" s="347">
        <v>168</v>
      </c>
      <c r="DL9" s="159">
        <f>SUM(DG9:DK9)</f>
        <v>858</v>
      </c>
      <c r="DM9" s="165">
        <f t="shared" si="4"/>
        <v>194</v>
      </c>
      <c r="DN9" s="317">
        <f>SUM(DL9*1000)+DM9+0.47</f>
        <v>858194.47</v>
      </c>
      <c r="DO9" s="320">
        <f>IF(DG9="","",RANK(DN9,DN6:DN65,0))</f>
        <v>3</v>
      </c>
      <c r="DP9" s="159"/>
      <c r="DQ9" s="250"/>
      <c r="DR9" s="250"/>
      <c r="DS9" s="986"/>
      <c r="DV9" s="155">
        <f t="shared" si="12"/>
        <v>4</v>
      </c>
      <c r="DW9" s="156" t="str">
        <f>IF(DU6&lt;4,"",VLOOKUP(4,DC6:DO65,4,FALSE))</f>
        <v>Kocúr Jaroslav</v>
      </c>
      <c r="DX9" s="155">
        <f>IF(DU6&lt;4,"",VLOOKUP(4,DC6:DO65,10,FALSE))</f>
        <v>854</v>
      </c>
      <c r="DY9" s="8"/>
      <c r="EA9">
        <f>IF(EE9="","",EM9)</f>
        <v>42</v>
      </c>
      <c r="EB9" s="980"/>
      <c r="EC9" s="1003"/>
      <c r="ED9" s="160" t="s">
        <v>46</v>
      </c>
      <c r="EE9" s="621">
        <v>129</v>
      </c>
      <c r="EF9" s="622">
        <v>113</v>
      </c>
      <c r="EG9" s="622">
        <v>121</v>
      </c>
      <c r="EH9" s="622">
        <v>139</v>
      </c>
      <c r="EI9" s="622">
        <v>110</v>
      </c>
      <c r="EJ9" s="623">
        <f>SUM(EE9:EI9)</f>
        <v>612</v>
      </c>
      <c r="EK9" s="165">
        <f t="shared" si="5"/>
        <v>139</v>
      </c>
      <c r="EL9" s="317">
        <f>SUM(EJ9*1000)+EK9+0.47</f>
        <v>612139.47</v>
      </c>
      <c r="EM9" s="320">
        <f>IF(EE9="","",RANK(EL9,EL6:EL65,0))</f>
        <v>42</v>
      </c>
      <c r="EN9" s="159"/>
      <c r="EO9" s="250"/>
      <c r="EP9" s="250"/>
      <c r="EQ9" s="992"/>
      <c r="ET9" s="155">
        <f t="shared" si="13"/>
        <v>4</v>
      </c>
      <c r="EU9" s="156" t="str">
        <f>IF(ES6&lt;4,"",VLOOKUP(4,EA6:EM65,4,FALSE))</f>
        <v>Kocúr Jaroslav</v>
      </c>
      <c r="EV9" s="155">
        <f>IF(ES6&lt;4,"",VLOOKUP(4,EA6:EM65,10,FALSE))</f>
        <v>889</v>
      </c>
      <c r="EW9" s="8"/>
      <c r="EX9" s="8"/>
      <c r="EY9">
        <f>IF(FC9="","",FK9)</f>
        <v>17</v>
      </c>
      <c r="EZ9" s="980"/>
      <c r="FA9" s="1049"/>
      <c r="FB9" s="776" t="s">
        <v>67</v>
      </c>
      <c r="FC9" s="681">
        <v>164</v>
      </c>
      <c r="FD9" s="681">
        <v>164</v>
      </c>
      <c r="FE9" s="681">
        <v>163</v>
      </c>
      <c r="FF9" s="681">
        <v>136</v>
      </c>
      <c r="FG9" s="681">
        <v>134</v>
      </c>
      <c r="FH9" s="820">
        <f>SUM(FC9:FG9)</f>
        <v>761</v>
      </c>
      <c r="FI9" s="165">
        <f t="shared" si="6"/>
        <v>164</v>
      </c>
      <c r="FJ9" s="317">
        <f>SUM(FH9*1000)+FI9+0.47</f>
        <v>761164.47</v>
      </c>
      <c r="FK9" s="320">
        <f>IF(FC9="","",RANK(FJ9,FJ6:FJ65,0))</f>
        <v>17</v>
      </c>
      <c r="FL9" s="159"/>
      <c r="FM9" s="250"/>
      <c r="FN9" s="250"/>
      <c r="FO9" s="994"/>
      <c r="FP9" s="8"/>
      <c r="FQ9" s="804"/>
      <c r="FR9" s="810">
        <f t="shared" si="14"/>
        <v>4</v>
      </c>
      <c r="FS9" s="807" t="str">
        <f>IF(FQ6&lt;4,"",VLOOKUP(4,EY6:FL65,4,FALSE))</f>
        <v>Krupa Jozef</v>
      </c>
      <c r="FT9" s="808">
        <f>IF(FQ6&lt;4,"",VLOOKUP(4,EY6:FL65,10,FALSE))</f>
        <v>860</v>
      </c>
      <c r="FU9" s="8"/>
      <c r="FW9" t="str">
        <f>IF(GA9="","",GI9)</f>
        <v/>
      </c>
      <c r="FX9" s="980"/>
      <c r="FY9" s="983"/>
      <c r="FZ9" s="160"/>
      <c r="GA9" s="347"/>
      <c r="GB9" s="347"/>
      <c r="GC9" s="347"/>
      <c r="GD9" s="347"/>
      <c r="GE9" s="347"/>
      <c r="GF9" s="159">
        <f>SUM(GA9:GE9)</f>
        <v>0</v>
      </c>
      <c r="GG9" s="165">
        <f t="shared" si="7"/>
        <v>0</v>
      </c>
      <c r="GH9" s="317">
        <f>SUM(GF9*1000)+GG9+0.47</f>
        <v>0.47</v>
      </c>
      <c r="GI9" s="320" t="str">
        <f>IF(GA9="","",RANK(GH9,GH6:GH70,0))</f>
        <v/>
      </c>
      <c r="GJ9" s="159"/>
      <c r="GK9" s="250"/>
      <c r="GL9" s="250"/>
      <c r="GM9" s="986"/>
      <c r="GP9" s="155">
        <f t="shared" si="15"/>
        <v>4</v>
      </c>
      <c r="GQ9" s="156" t="str">
        <f>IF(GO6&lt;4,"",VLOOKUP(4,FW6:GI70,4,FALSE))</f>
        <v/>
      </c>
      <c r="GR9" s="155" t="str">
        <f>IF(GO6&lt;4,"",VLOOKUP(4,FW6:GI70,10,FALSE))</f>
        <v/>
      </c>
    </row>
    <row r="10" spans="1:200" ht="15" customHeight="1">
      <c r="A10" s="917"/>
      <c r="B10" s="998"/>
      <c r="C10" s="998"/>
      <c r="D10" s="999"/>
      <c r="E10" s="917"/>
      <c r="F10" s="915"/>
      <c r="G10" s="915"/>
      <c r="H10" s="915"/>
      <c r="I10" s="915"/>
      <c r="J10" s="915"/>
      <c r="K10" s="915"/>
      <c r="L10" s="915"/>
      <c r="M10" s="915"/>
      <c r="O10">
        <f>IF(S10="","",AA10)</f>
        <v>31</v>
      </c>
      <c r="P10" s="980"/>
      <c r="Q10" s="983"/>
      <c r="R10" s="158" t="s">
        <v>147</v>
      </c>
      <c r="S10" s="319">
        <v>103</v>
      </c>
      <c r="T10" s="319">
        <v>134</v>
      </c>
      <c r="U10" s="319">
        <v>160</v>
      </c>
      <c r="V10" s="319">
        <v>121</v>
      </c>
      <c r="W10" s="319">
        <v>135</v>
      </c>
      <c r="X10" s="159">
        <f>SUM(S10:W10)</f>
        <v>653</v>
      </c>
      <c r="Y10" s="165">
        <f t="shared" si="0"/>
        <v>160</v>
      </c>
      <c r="Z10" s="317">
        <f>SUM(X10*1000)+Y10+0.46</f>
        <v>653160.46</v>
      </c>
      <c r="AA10" s="320">
        <f>IF(S10="","",RANK(Z10,Z6:Z65,0))</f>
        <v>31</v>
      </c>
      <c r="AB10" s="161"/>
      <c r="AC10" s="986"/>
      <c r="AF10" s="155">
        <f t="shared" si="8"/>
        <v>5</v>
      </c>
      <c r="AG10" s="156" t="str">
        <f>IF(AE6&lt;5,"",VLOOKUP(5,O6:AA65,4,FALSE))</f>
        <v>LAZUR VLADIMÍR</v>
      </c>
      <c r="AH10" s="155">
        <f>IF(AE6&lt;5,"",VLOOKUP(5,O6:AA65,10,FALSE))</f>
        <v>847</v>
      </c>
      <c r="AI10" s="8"/>
      <c r="AK10">
        <f>IF(AO10="","",AW10)</f>
        <v>33</v>
      </c>
      <c r="AL10" s="980"/>
      <c r="AM10" s="983"/>
      <c r="AN10" s="238" t="s">
        <v>202</v>
      </c>
      <c r="AO10" s="327">
        <v>122</v>
      </c>
      <c r="AP10" s="319">
        <v>105</v>
      </c>
      <c r="AQ10" s="319">
        <v>175</v>
      </c>
      <c r="AR10" s="319">
        <v>111</v>
      </c>
      <c r="AS10" s="319">
        <v>125</v>
      </c>
      <c r="AT10" s="159">
        <f>SUM(AO10:AS10)</f>
        <v>638</v>
      </c>
      <c r="AU10" s="165">
        <f t="shared" si="1"/>
        <v>175</v>
      </c>
      <c r="AV10" s="317">
        <f>SUM(AT10*1000)+AU10+0.46</f>
        <v>638175.46</v>
      </c>
      <c r="AW10" s="320">
        <f>IF(AO10="","",RANK(AV10,AV6:AV65,0))</f>
        <v>33</v>
      </c>
      <c r="AX10" s="161"/>
      <c r="AY10" s="986"/>
      <c r="BB10" s="155">
        <f t="shared" si="9"/>
        <v>5</v>
      </c>
      <c r="BC10" s="156" t="str">
        <f>IF(BA6&lt;5,"",VLOOKUP(5,AK6:AW65,4,FALSE))</f>
        <v>KRUPA JOSEF</v>
      </c>
      <c r="BD10" s="155">
        <f>IF(BA6&lt;5,"",VLOOKUP(5,AK6:AW65,10,FALSE))</f>
        <v>891</v>
      </c>
      <c r="BE10" s="8"/>
      <c r="BG10">
        <f>IF(BK10="","",BS10)</f>
        <v>44</v>
      </c>
      <c r="BH10" s="980"/>
      <c r="BI10" s="983"/>
      <c r="BJ10" s="258" t="s">
        <v>236</v>
      </c>
      <c r="BK10" s="344">
        <v>103</v>
      </c>
      <c r="BL10" s="345">
        <v>122</v>
      </c>
      <c r="BM10" s="345">
        <v>113</v>
      </c>
      <c r="BN10" s="345">
        <v>122</v>
      </c>
      <c r="BO10" s="345">
        <v>113</v>
      </c>
      <c r="BP10" s="159">
        <f>SUM(BK10:BO10)</f>
        <v>573</v>
      </c>
      <c r="BQ10" s="165">
        <f t="shared" si="2"/>
        <v>122</v>
      </c>
      <c r="BR10" s="317">
        <f>SUM(BP10*1000)+BQ10+0.46</f>
        <v>573122.46</v>
      </c>
      <c r="BS10" s="320">
        <f>IF(BK10="","",RANK(BR10,BR6:BR65,0))</f>
        <v>44</v>
      </c>
      <c r="BT10" s="161"/>
      <c r="BU10" s="251"/>
      <c r="BV10" s="251"/>
      <c r="BW10" s="986"/>
      <c r="BZ10" s="155">
        <f t="shared" si="10"/>
        <v>5</v>
      </c>
      <c r="CA10" s="156" t="str">
        <f>IF(BY6&lt;5,"",VLOOKUP(5,BG6:BS65,4,FALSE))</f>
        <v>STEJSKAL MARTIN</v>
      </c>
      <c r="CB10" s="155">
        <f>IF(BY6&lt;5,"",VLOOKUP(5,BG6:BS65,10,FALSE))</f>
        <v>846</v>
      </c>
      <c r="CC10" s="8"/>
      <c r="CE10">
        <f>IF(CI10="","",CQ10)</f>
        <v>2</v>
      </c>
      <c r="CF10" s="980"/>
      <c r="CG10" s="983"/>
      <c r="CH10" s="272" t="s">
        <v>177</v>
      </c>
      <c r="CI10" s="319">
        <v>145</v>
      </c>
      <c r="CJ10" s="319">
        <v>170</v>
      </c>
      <c r="CK10" s="319">
        <v>179</v>
      </c>
      <c r="CL10" s="319">
        <v>212</v>
      </c>
      <c r="CM10" s="319">
        <v>177</v>
      </c>
      <c r="CN10" s="159">
        <f>SUM(CI10:CM10)</f>
        <v>883</v>
      </c>
      <c r="CO10" s="165">
        <f t="shared" si="3"/>
        <v>212</v>
      </c>
      <c r="CP10" s="317">
        <f>SUM(CN10*1000)+CO10+0.46</f>
        <v>883212.46</v>
      </c>
      <c r="CQ10" s="320">
        <f>IF(CI10="","",RANK(CP10,CP6:CP65,0))</f>
        <v>2</v>
      </c>
      <c r="CR10" s="161"/>
      <c r="CS10" s="251"/>
      <c r="CT10" s="251"/>
      <c r="CU10" s="986"/>
      <c r="CX10" s="155">
        <f t="shared" si="11"/>
        <v>5</v>
      </c>
      <c r="CY10" s="156" t="str">
        <f>IF(CW6&lt;5,"",VLOOKUP(5,CE6:CQ65,4,FALSE))</f>
        <v>CARVAN PAVEL</v>
      </c>
      <c r="CZ10" s="155">
        <f>IF(CW6&lt;5,"",VLOOKUP(5,CE6:CQ65,10,FALSE))</f>
        <v>842</v>
      </c>
      <c r="DA10" s="8"/>
      <c r="DC10">
        <f>IF(DG10="","",DO10)</f>
        <v>30</v>
      </c>
      <c r="DD10" s="980"/>
      <c r="DE10" s="989"/>
      <c r="DF10" s="543" t="s">
        <v>5</v>
      </c>
      <c r="DG10" s="347">
        <v>114</v>
      </c>
      <c r="DH10" s="347">
        <v>110</v>
      </c>
      <c r="DI10" s="347">
        <v>156</v>
      </c>
      <c r="DJ10" s="347">
        <v>172</v>
      </c>
      <c r="DK10" s="347">
        <v>131</v>
      </c>
      <c r="DL10" s="159">
        <f>SUM(DG10:DK10)</f>
        <v>683</v>
      </c>
      <c r="DM10" s="165">
        <f t="shared" si="4"/>
        <v>172</v>
      </c>
      <c r="DN10" s="317">
        <f>SUM(DL10*1000)+DM10+0.46</f>
        <v>683172.46</v>
      </c>
      <c r="DO10" s="320">
        <f>IF(DG10="","",RANK(DN10,DN6:DN65,0))</f>
        <v>30</v>
      </c>
      <c r="DP10" s="161"/>
      <c r="DQ10" s="251"/>
      <c r="DR10" s="251"/>
      <c r="DS10" s="986"/>
      <c r="DV10" s="155">
        <f t="shared" si="12"/>
        <v>5</v>
      </c>
      <c r="DW10" s="156" t="str">
        <f>IF(DU6&lt;5,"",VLOOKUP(5,DC6:DO65,4,FALSE))</f>
        <v>Křápek Roman</v>
      </c>
      <c r="DX10" s="155">
        <f>IF(DU6&lt;5,"",VLOOKUP(5,DC6:DO65,10,FALSE))</f>
        <v>834</v>
      </c>
      <c r="DY10" s="8"/>
      <c r="EA10">
        <f>IF(EE10="","",EM10)</f>
        <v>45</v>
      </c>
      <c r="EB10" s="980"/>
      <c r="EC10" s="1003"/>
      <c r="ED10" s="160" t="s">
        <v>61</v>
      </c>
      <c r="EE10" s="621">
        <v>131</v>
      </c>
      <c r="EF10" s="622">
        <v>103</v>
      </c>
      <c r="EG10" s="622">
        <v>138</v>
      </c>
      <c r="EH10" s="622">
        <v>93</v>
      </c>
      <c r="EI10" s="622">
        <v>132</v>
      </c>
      <c r="EJ10" s="623">
        <f>SUM(EE10:EI10)</f>
        <v>597</v>
      </c>
      <c r="EK10" s="165">
        <f t="shared" si="5"/>
        <v>138</v>
      </c>
      <c r="EL10" s="317">
        <f>SUM(EJ10*1000)+EK10+0.46</f>
        <v>597138.46</v>
      </c>
      <c r="EM10" s="320">
        <f>IF(EE10="","",RANK(EL10,EL6:EL65,0))</f>
        <v>45</v>
      </c>
      <c r="EN10" s="161"/>
      <c r="EO10" s="251"/>
      <c r="EP10" s="251"/>
      <c r="EQ10" s="992"/>
      <c r="ET10" s="155">
        <f t="shared" si="13"/>
        <v>5</v>
      </c>
      <c r="EU10" s="156" t="str">
        <f>IF(ES6&lt;5,"",VLOOKUP(5,EA6:EM65,4,FALSE))</f>
        <v>Ondřich František</v>
      </c>
      <c r="EV10" s="155">
        <f>IF(ES6&lt;5,"",VLOOKUP(5,EA6:EM65,10,FALSE))</f>
        <v>863</v>
      </c>
      <c r="EW10" s="8"/>
      <c r="EX10" s="8"/>
      <c r="EY10">
        <f>IF(FC10="","",FK10)</f>
        <v>20</v>
      </c>
      <c r="EZ10" s="980"/>
      <c r="FA10" s="1049"/>
      <c r="FB10" s="777" t="s">
        <v>28</v>
      </c>
      <c r="FC10" s="684">
        <v>181</v>
      </c>
      <c r="FD10" s="684">
        <v>128</v>
      </c>
      <c r="FE10" s="684">
        <v>139</v>
      </c>
      <c r="FF10" s="684">
        <v>158</v>
      </c>
      <c r="FG10" s="684">
        <v>136</v>
      </c>
      <c r="FH10" s="822">
        <f>SUM(FC10:FG10)</f>
        <v>742</v>
      </c>
      <c r="FI10" s="165">
        <f t="shared" si="6"/>
        <v>181</v>
      </c>
      <c r="FJ10" s="317">
        <f>SUM(FH10*1000)+FI10+0.46</f>
        <v>742181.46</v>
      </c>
      <c r="FK10" s="823">
        <f>IF(FC10="","",RANK(FJ10,FJ6:FJ65,0))</f>
        <v>20</v>
      </c>
      <c r="FL10" s="824"/>
      <c r="FM10" s="251"/>
      <c r="FN10" s="251"/>
      <c r="FO10" s="994"/>
      <c r="FP10" s="8"/>
      <c r="FQ10" s="804"/>
      <c r="FR10" s="811">
        <f t="shared" si="14"/>
        <v>5</v>
      </c>
      <c r="FS10" s="807" t="str">
        <f>IF(FQ6&lt;5,"",VLOOKUP(5,EY6:FL65,4,FALSE))</f>
        <v>Kocůr Jaroslav</v>
      </c>
      <c r="FT10" s="808">
        <f>IF(FQ6&lt;5,"",VLOOKUP(5,EY6:FL65,10,FALSE))</f>
        <v>850</v>
      </c>
      <c r="FU10" s="8"/>
      <c r="FW10" t="str">
        <f>IF(GA10="","",GI10)</f>
        <v/>
      </c>
      <c r="FX10" s="980"/>
      <c r="FY10" s="983"/>
      <c r="FZ10" s="160"/>
      <c r="GA10" s="347"/>
      <c r="GB10" s="347"/>
      <c r="GC10" s="347"/>
      <c r="GD10" s="347"/>
      <c r="GE10" s="347"/>
      <c r="GF10" s="159">
        <f>SUM(GA10:GE10)</f>
        <v>0</v>
      </c>
      <c r="GG10" s="165">
        <f t="shared" si="7"/>
        <v>0</v>
      </c>
      <c r="GH10" s="317">
        <f>SUM(GF10*1000)+GG10+0.46</f>
        <v>0.46</v>
      </c>
      <c r="GI10" s="320" t="str">
        <f>IF(GA10="","",RANK(GH10,GH6:GH70,0))</f>
        <v/>
      </c>
      <c r="GJ10" s="161"/>
      <c r="GK10" s="251"/>
      <c r="GL10" s="251"/>
      <c r="GM10" s="986"/>
      <c r="GP10" s="155">
        <f t="shared" si="15"/>
        <v>5</v>
      </c>
      <c r="GQ10" s="156" t="str">
        <f>IF(GO6&lt;5,"",VLOOKUP(5,FW6:GI70,4,FALSE))</f>
        <v/>
      </c>
      <c r="GR10" s="155" t="str">
        <f>IF(GO6&lt;5,"",VLOOKUP(5,FW6:GI70,10,FALSE))</f>
        <v/>
      </c>
    </row>
    <row r="11" spans="1:200" ht="15" customHeight="1">
      <c r="A11" s="917"/>
      <c r="B11" s="1000" t="s">
        <v>148</v>
      </c>
      <c r="C11" s="1000"/>
      <c r="D11" s="1001" t="s">
        <v>149</v>
      </c>
      <c r="E11" s="917"/>
      <c r="F11" s="915"/>
      <c r="G11" s="915"/>
      <c r="H11" s="915"/>
      <c r="I11" s="915"/>
      <c r="J11" s="915"/>
      <c r="K11" s="915"/>
      <c r="L11" s="915"/>
      <c r="M11" s="915"/>
      <c r="P11" s="981"/>
      <c r="Q11" s="984"/>
      <c r="R11" s="162"/>
      <c r="S11" s="321">
        <f>SUM(S6:S10)</f>
        <v>624</v>
      </c>
      <c r="T11" s="321">
        <f>SUM(T6:T10)</f>
        <v>672</v>
      </c>
      <c r="U11" s="321">
        <f>SUM(U6:U10)</f>
        <v>707</v>
      </c>
      <c r="V11" s="321">
        <f>SUM(V6:V10)</f>
        <v>636</v>
      </c>
      <c r="W11" s="321">
        <f>SUM(W6:W10)</f>
        <v>642</v>
      </c>
      <c r="X11" s="322"/>
      <c r="Y11" s="322">
        <f t="shared" si="0"/>
        <v>707</v>
      </c>
      <c r="Z11" s="322"/>
      <c r="AA11" s="322"/>
      <c r="AB11" s="323">
        <f>SUM(S11:W11)</f>
        <v>3281</v>
      </c>
      <c r="AC11" s="987"/>
      <c r="AF11" s="155">
        <f t="shared" si="8"/>
        <v>6</v>
      </c>
      <c r="AG11" s="156" t="str">
        <f>IF(AE6&lt;6,"",VLOOKUP(6,O6:AA65,4,FALSE))</f>
        <v>VĚCHTÍK ANTONÍN</v>
      </c>
      <c r="AH11" s="155">
        <f>IF(AE6&lt;6,"",VLOOKUP(6,O6:AA65,10,FALSE))</f>
        <v>830</v>
      </c>
      <c r="AI11" s="8"/>
      <c r="AL11" s="981"/>
      <c r="AM11" s="984"/>
      <c r="AN11" s="162"/>
      <c r="AO11" s="321">
        <f>SUM(AO6:AO10)</f>
        <v>761</v>
      </c>
      <c r="AP11" s="321">
        <f>SUM(AP6:AP10)</f>
        <v>700</v>
      </c>
      <c r="AQ11" s="321">
        <f>SUM(AQ6:AQ10)</f>
        <v>807</v>
      </c>
      <c r="AR11" s="321">
        <f>SUM(AR6:AR10)</f>
        <v>708</v>
      </c>
      <c r="AS11" s="321">
        <f>SUM(AS6:AS10)</f>
        <v>743</v>
      </c>
      <c r="AT11" s="322"/>
      <c r="AU11" s="322">
        <f t="shared" si="1"/>
        <v>807</v>
      </c>
      <c r="AV11" s="322"/>
      <c r="AW11" s="322"/>
      <c r="AX11" s="323">
        <f>SUM(AO11:AS11)</f>
        <v>3719</v>
      </c>
      <c r="AY11" s="987"/>
      <c r="BB11" s="155">
        <f t="shared" si="9"/>
        <v>6</v>
      </c>
      <c r="BC11" s="156" t="str">
        <f>IF(BA6&lt;6,"",VLOOKUP(6,AK6:AW65,4,FALSE))</f>
        <v>POSPÍŠIL VÁCLAV</v>
      </c>
      <c r="BD11" s="155">
        <f>IF(BA6&lt;6,"",VLOOKUP(6,AK6:AW65,10,FALSE))</f>
        <v>876</v>
      </c>
      <c r="BE11" s="8"/>
      <c r="BH11" s="981"/>
      <c r="BI11" s="984"/>
      <c r="BJ11" s="162"/>
      <c r="BK11" s="321">
        <f>SUM(BK6:BK10)</f>
        <v>627</v>
      </c>
      <c r="BL11" s="321">
        <f>SUM(BL6:BL10)</f>
        <v>781</v>
      </c>
      <c r="BM11" s="321">
        <f>SUM(BM6:BM10)</f>
        <v>751</v>
      </c>
      <c r="BN11" s="321">
        <f>SUM(BN6:BN10)</f>
        <v>746</v>
      </c>
      <c r="BO11" s="321">
        <f>SUM(BO6:BO10)</f>
        <v>728</v>
      </c>
      <c r="BP11" s="322"/>
      <c r="BQ11" s="322">
        <f t="shared" si="2"/>
        <v>781</v>
      </c>
      <c r="BR11" s="322"/>
      <c r="BS11" s="322"/>
      <c r="BT11" s="323">
        <f>SUM(BK11:BO11)</f>
        <v>3633</v>
      </c>
      <c r="BU11" s="163">
        <f>MAX(BK11:BO11)</f>
        <v>781</v>
      </c>
      <c r="BV11" s="163">
        <f>IF(BK6="","",SUM(BT11*10000)+BU11)</f>
        <v>36330781</v>
      </c>
      <c r="BW11" s="987"/>
      <c r="BZ11" s="155">
        <f t="shared" si="10"/>
        <v>6</v>
      </c>
      <c r="CA11" s="156" t="str">
        <f>IF(BY6&lt;6,"",VLOOKUP(6,BG6:BS65,4,FALSE))</f>
        <v>MOTTL PAVEL</v>
      </c>
      <c r="CB11" s="155">
        <f>IF(BY6&lt;6,"",VLOOKUP(6,BG6:BS65,10,FALSE))</f>
        <v>838</v>
      </c>
      <c r="CC11" s="8"/>
      <c r="CF11" s="981"/>
      <c r="CG11" s="984"/>
      <c r="CH11" s="162"/>
      <c r="CI11" s="321">
        <f>SUM(CI6:CI10)</f>
        <v>651</v>
      </c>
      <c r="CJ11" s="321">
        <f>SUM(CJ6:CJ10)</f>
        <v>683</v>
      </c>
      <c r="CK11" s="321">
        <f>SUM(CK6:CK10)</f>
        <v>699</v>
      </c>
      <c r="CL11" s="321">
        <f>SUM(CL6:CL10)</f>
        <v>852</v>
      </c>
      <c r="CM11" s="321">
        <f>SUM(CM6:CM10)</f>
        <v>679</v>
      </c>
      <c r="CN11" s="322"/>
      <c r="CO11" s="322">
        <f t="shared" si="3"/>
        <v>852</v>
      </c>
      <c r="CP11" s="322"/>
      <c r="CQ11" s="322"/>
      <c r="CR11" s="323">
        <f>SUM(CI11:CM11)</f>
        <v>3564</v>
      </c>
      <c r="CS11" s="163">
        <f>MAX(CI11:CM11)</f>
        <v>852</v>
      </c>
      <c r="CT11" s="163">
        <f>IF(CI6="","",SUM(CR11*1000)+CS11)</f>
        <v>3564852</v>
      </c>
      <c r="CU11" s="987"/>
      <c r="CX11" s="155">
        <f t="shared" si="11"/>
        <v>6</v>
      </c>
      <c r="CY11" s="156" t="str">
        <f>IF(CW6&lt;6,"",VLOOKUP(6,CE6:CQ65,4,FALSE))</f>
        <v>SLADOVNÍK MILOSLAV</v>
      </c>
      <c r="CZ11" s="155">
        <f>IF(CW6&lt;6,"",VLOOKUP(6,CE6:CQ65,10,FALSE))</f>
        <v>842</v>
      </c>
      <c r="DA11" s="8"/>
      <c r="DD11" s="981"/>
      <c r="DE11" s="990"/>
      <c r="DF11" s="162"/>
      <c r="DG11" s="321">
        <f>SUM(DG6:DG10)</f>
        <v>687</v>
      </c>
      <c r="DH11" s="321">
        <f>SUM(DH6:DH10)</f>
        <v>772</v>
      </c>
      <c r="DI11" s="321">
        <f>SUM(DI6:DI10)</f>
        <v>768</v>
      </c>
      <c r="DJ11" s="321">
        <f>SUM(DJ6:DJ10)</f>
        <v>681</v>
      </c>
      <c r="DK11" s="321">
        <f>SUM(DK6:DK10)</f>
        <v>782</v>
      </c>
      <c r="DL11" s="322"/>
      <c r="DM11" s="322">
        <f t="shared" si="4"/>
        <v>782</v>
      </c>
      <c r="DN11" s="322"/>
      <c r="DO11" s="322"/>
      <c r="DP11" s="323">
        <f>SUM(DG11:DK11)</f>
        <v>3690</v>
      </c>
      <c r="DQ11" s="163">
        <f>MAX(DG11:DK11)</f>
        <v>782</v>
      </c>
      <c r="DR11" s="163">
        <f>IF(DG6="","",SUM(DP11*1000)+DQ11)</f>
        <v>3690782</v>
      </c>
      <c r="DS11" s="987"/>
      <c r="DV11" s="155">
        <f t="shared" si="12"/>
        <v>6</v>
      </c>
      <c r="DW11" s="156" t="str">
        <f>IF(DU6&lt;6,"",VLOOKUP(6,DC6:DO65,4,FALSE))</f>
        <v>Podhola Martin</v>
      </c>
      <c r="DX11" s="155">
        <f>IF(DU6&lt;6,"",VLOOKUP(6,DC6:DO65,10,FALSE))</f>
        <v>826</v>
      </c>
      <c r="DY11" s="8"/>
      <c r="EB11" s="981"/>
      <c r="EC11" s="1004"/>
      <c r="ED11" s="162"/>
      <c r="EE11" s="321">
        <f>SUM(EE6:EE10)</f>
        <v>647</v>
      </c>
      <c r="EF11" s="321">
        <f>SUM(EF6:EF10)</f>
        <v>578</v>
      </c>
      <c r="EG11" s="321">
        <f>SUM(EG6:EG10)</f>
        <v>675</v>
      </c>
      <c r="EH11" s="321">
        <f>SUM(EH6:EH10)</f>
        <v>572</v>
      </c>
      <c r="EI11" s="321">
        <f>SUM(EI6:EI10)</f>
        <v>634</v>
      </c>
      <c r="EJ11" s="322"/>
      <c r="EK11" s="322">
        <f t="shared" si="5"/>
        <v>675</v>
      </c>
      <c r="EL11" s="322"/>
      <c r="EM11" s="322"/>
      <c r="EN11" s="323">
        <f>SUM(EE11:EI11)</f>
        <v>3106</v>
      </c>
      <c r="EO11" s="163">
        <f>MAX(EE11:EI11)</f>
        <v>675</v>
      </c>
      <c r="EP11" s="163">
        <f>IF(EE6="","",SUM(EN11*1000)+EO11)</f>
        <v>3106675</v>
      </c>
      <c r="EQ11" s="993"/>
      <c r="ET11" s="155">
        <f t="shared" si="13"/>
        <v>6</v>
      </c>
      <c r="EU11" s="156" t="str">
        <f>IF(ES6&lt;6,"",VLOOKUP(6,EA6:EM65,4,FALSE))</f>
        <v>Pecka Jiří</v>
      </c>
      <c r="EV11" s="155">
        <f>IF(ES6&lt;6,"",VLOOKUP(6,EA6:EM65,10,FALSE))</f>
        <v>854</v>
      </c>
      <c r="EW11" s="8"/>
      <c r="EX11" s="8"/>
      <c r="EZ11" s="981"/>
      <c r="FA11" s="1050"/>
      <c r="FB11" s="162"/>
      <c r="FC11" s="321">
        <f>SUM(FC6:FC10)</f>
        <v>806</v>
      </c>
      <c r="FD11" s="321">
        <f>SUM(FD6:FD10)</f>
        <v>746</v>
      </c>
      <c r="FE11" s="321">
        <f>SUM(FE6:FE10)</f>
        <v>798</v>
      </c>
      <c r="FF11" s="321">
        <f>SUM(FF6:FF10)</f>
        <v>732</v>
      </c>
      <c r="FG11" s="321">
        <f>SUM(FG6:FG10)</f>
        <v>786</v>
      </c>
      <c r="FH11" s="322"/>
      <c r="FI11" s="322">
        <f t="shared" si="6"/>
        <v>806</v>
      </c>
      <c r="FJ11" s="322"/>
      <c r="FK11" s="322"/>
      <c r="FL11" s="825">
        <f>SUM(FC11:FG11)</f>
        <v>3868</v>
      </c>
      <c r="FM11" s="163">
        <f>MAX(FC11:FG11)</f>
        <v>806</v>
      </c>
      <c r="FN11" s="163">
        <f>IF(FC6="","",SUM(FL11*1000)+FM11)</f>
        <v>3868806</v>
      </c>
      <c r="FO11" s="994"/>
      <c r="FP11" s="8"/>
      <c r="FQ11" s="804"/>
      <c r="FR11" s="811">
        <f t="shared" si="14"/>
        <v>6</v>
      </c>
      <c r="FS11" s="807" t="str">
        <f>IF(FQ6&lt;6,"",VLOOKUP(6,EY6:FL65,4,FALSE))</f>
        <v>Pospíšil Václav</v>
      </c>
      <c r="FT11" s="808">
        <f>IF(FQ6&lt;6,"",VLOOKUP(6,EY6:FL65,10,FALSE))</f>
        <v>844</v>
      </c>
      <c r="FU11" s="8"/>
      <c r="FX11" s="981"/>
      <c r="FY11" s="984"/>
      <c r="FZ11" s="162"/>
      <c r="GA11" s="321">
        <f>SUM(GA6:GA10)</f>
        <v>1</v>
      </c>
      <c r="GB11" s="321">
        <f>SUM(GB6:GB10)</f>
        <v>1</v>
      </c>
      <c r="GC11" s="321">
        <f>SUM(GC6:GC10)</f>
        <v>1</v>
      </c>
      <c r="GD11" s="321">
        <f>SUM(GD6:GD10)</f>
        <v>0</v>
      </c>
      <c r="GE11" s="321">
        <f>SUM(GE6:GE10)</f>
        <v>0</v>
      </c>
      <c r="GF11" s="322"/>
      <c r="GG11" s="322">
        <f t="shared" si="7"/>
        <v>1</v>
      </c>
      <c r="GH11" s="322"/>
      <c r="GI11" s="322"/>
      <c r="GJ11" s="323">
        <f>SUM(GA11:GE11)</f>
        <v>3</v>
      </c>
      <c r="GK11" s="163">
        <f>MAX(GA11:GE11)</f>
        <v>1</v>
      </c>
      <c r="GL11" s="163">
        <f>IF(GA6="","",SUM(GJ11*1000)+GK11)</f>
        <v>3001</v>
      </c>
      <c r="GM11" s="987"/>
      <c r="GP11" s="155">
        <f t="shared" si="15"/>
        <v>6</v>
      </c>
      <c r="GQ11" s="156" t="str">
        <f>IF(GO6&lt;6,"",VLOOKUP(6,FW6:GI70,4,FALSE))</f>
        <v/>
      </c>
      <c r="GR11" s="155" t="str">
        <f>IF(GO6&lt;6,"",VLOOKUP(6,FW6:GI70,10,FALSE))</f>
        <v/>
      </c>
    </row>
    <row r="12" spans="1:200" ht="15" customHeight="1">
      <c r="A12" s="917"/>
      <c r="B12" s="1000"/>
      <c r="C12" s="1000"/>
      <c r="D12" s="1001"/>
      <c r="E12" s="917"/>
      <c r="F12" s="915"/>
      <c r="G12" s="915"/>
      <c r="H12" s="915"/>
      <c r="I12" s="915"/>
      <c r="J12" s="916"/>
      <c r="K12" s="915"/>
      <c r="L12" s="915"/>
      <c r="M12" s="915"/>
      <c r="O12">
        <f>IF(S12="","",AA12)</f>
        <v>15</v>
      </c>
      <c r="P12" s="995">
        <v>2</v>
      </c>
      <c r="Q12" s="982" t="s">
        <v>150</v>
      </c>
      <c r="R12" s="164" t="s">
        <v>151</v>
      </c>
      <c r="S12" s="324">
        <v>146</v>
      </c>
      <c r="T12" s="325">
        <v>137</v>
      </c>
      <c r="U12" s="325">
        <v>143</v>
      </c>
      <c r="V12" s="325">
        <v>185</v>
      </c>
      <c r="W12" s="325">
        <v>133</v>
      </c>
      <c r="X12" s="165">
        <f>SUM(S12:W12)</f>
        <v>744</v>
      </c>
      <c r="Y12" s="165">
        <f t="shared" si="0"/>
        <v>185</v>
      </c>
      <c r="Z12" s="317">
        <f>SUM(X12*1000)+Y12+0.45</f>
        <v>744185.45</v>
      </c>
      <c r="AA12" s="326">
        <f>IF(S12="","",RANK(Z12,Z6:Z65,0))</f>
        <v>15</v>
      </c>
      <c r="AB12" s="165"/>
      <c r="AC12" s="985">
        <f>RANK(AB17,AB11:AB65,0)</f>
        <v>3</v>
      </c>
      <c r="AF12" s="155">
        <f t="shared" si="8"/>
        <v>7</v>
      </c>
      <c r="AG12" s="156" t="str">
        <f>IF(AE6&lt;7,"",VLOOKUP(7,O6:AA65,4,FALSE))</f>
        <v>TOMÁŠEK ZDENĚK</v>
      </c>
      <c r="AH12" s="155">
        <f>IF(AE6&lt;7,"",VLOOKUP(7,O6:AA65,10,FALSE))</f>
        <v>825</v>
      </c>
      <c r="AI12" s="8"/>
      <c r="AK12">
        <f>IF(AO12="","",AW12)</f>
        <v>47</v>
      </c>
      <c r="AL12" s="995">
        <v>2</v>
      </c>
      <c r="AM12" s="982" t="s">
        <v>203</v>
      </c>
      <c r="AN12" s="239" t="s">
        <v>204</v>
      </c>
      <c r="AO12" s="324">
        <v>109</v>
      </c>
      <c r="AP12" s="325">
        <v>119</v>
      </c>
      <c r="AQ12" s="325">
        <v>123</v>
      </c>
      <c r="AR12" s="325">
        <v>112</v>
      </c>
      <c r="AS12" s="325">
        <v>100</v>
      </c>
      <c r="AT12" s="165">
        <f>SUM(AO12:AS12)</f>
        <v>563</v>
      </c>
      <c r="AU12" s="165">
        <f t="shared" si="1"/>
        <v>123</v>
      </c>
      <c r="AV12" s="317">
        <f>SUM(AT12*1000)+AU12+0.45</f>
        <v>563123.44999999995</v>
      </c>
      <c r="AW12" s="326">
        <f>IF(AO12="","",RANK(AV12,AV6:AV65,0))</f>
        <v>47</v>
      </c>
      <c r="AX12" s="165"/>
      <c r="AY12" s="985">
        <f>RANK(AX17,AX11:AX65,0)</f>
        <v>8</v>
      </c>
      <c r="BB12" s="155">
        <f t="shared" si="9"/>
        <v>7</v>
      </c>
      <c r="BC12" s="156" t="str">
        <f>IF(BA6&lt;7,"",VLOOKUP(7,AK6:AW65,4,FALSE))</f>
        <v>CARVAN PAVEL</v>
      </c>
      <c r="BD12" s="155">
        <f>IF(BA6&lt;7,"",VLOOKUP(7,AK6:AW65,10,FALSE))</f>
        <v>860</v>
      </c>
      <c r="BE12" s="8"/>
      <c r="BG12">
        <f>IF(BK12="","",BS12)</f>
        <v>40</v>
      </c>
      <c r="BH12" s="995">
        <v>2</v>
      </c>
      <c r="BI12" s="982" t="s">
        <v>241</v>
      </c>
      <c r="BJ12" s="259" t="s">
        <v>192</v>
      </c>
      <c r="BK12" s="342">
        <v>125</v>
      </c>
      <c r="BL12" s="343">
        <v>126</v>
      </c>
      <c r="BM12" s="343">
        <v>123</v>
      </c>
      <c r="BN12" s="343">
        <v>126</v>
      </c>
      <c r="BO12" s="343">
        <v>105</v>
      </c>
      <c r="BP12" s="165">
        <f>SUM(BK12:BO12)</f>
        <v>605</v>
      </c>
      <c r="BQ12" s="165">
        <f t="shared" si="2"/>
        <v>126</v>
      </c>
      <c r="BR12" s="317">
        <f>SUM(BP12*1000)+BQ12+0.45</f>
        <v>605126.44999999995</v>
      </c>
      <c r="BS12" s="326">
        <f>IF(BK12="","",RANK(BR12,BR6:BR65,0))</f>
        <v>40</v>
      </c>
      <c r="BT12" s="165"/>
      <c r="BU12" s="249"/>
      <c r="BV12" s="249"/>
      <c r="BW12" s="985">
        <f>IF(BK12="","",RANK(BV17,BV11:BV65,0))</f>
        <v>8</v>
      </c>
      <c r="BZ12" s="155">
        <f t="shared" si="10"/>
        <v>7</v>
      </c>
      <c r="CA12" s="156" t="str">
        <f>IF(BY6&lt;7,"",VLOOKUP(7,BG6:BS65,4,FALSE))</f>
        <v>PECKA JIŘÍ</v>
      </c>
      <c r="CB12" s="155">
        <f>IF(BY6&lt;7,"",VLOOKUP(7,BG6:BS65,10,FALSE))</f>
        <v>831</v>
      </c>
      <c r="CC12" s="8"/>
      <c r="CE12">
        <f>IF(CI12="","",CQ12)</f>
        <v>47</v>
      </c>
      <c r="CF12" s="995">
        <v>2</v>
      </c>
      <c r="CG12" s="982" t="s">
        <v>179</v>
      </c>
      <c r="CH12" s="259" t="s">
        <v>181</v>
      </c>
      <c r="CI12" s="324">
        <v>102</v>
      </c>
      <c r="CJ12" s="324">
        <v>69</v>
      </c>
      <c r="CK12" s="324">
        <v>105</v>
      </c>
      <c r="CL12" s="324">
        <v>126</v>
      </c>
      <c r="CM12" s="324">
        <v>131</v>
      </c>
      <c r="CN12" s="165">
        <f>SUM(CI12:CM12)</f>
        <v>533</v>
      </c>
      <c r="CO12" s="165">
        <f t="shared" si="3"/>
        <v>131</v>
      </c>
      <c r="CP12" s="317">
        <f>SUM(CN12*1000)+CO12+0.45</f>
        <v>533131.44999999995</v>
      </c>
      <c r="CQ12" s="326">
        <f>IF(CI12="","",RANK(CP12,CP6:CP65,0))</f>
        <v>47</v>
      </c>
      <c r="CR12" s="165"/>
      <c r="CS12" s="249"/>
      <c r="CT12" s="249"/>
      <c r="CU12" s="985">
        <f>IF(CI12="","",RANK(CT17,CT11:CT65,0))</f>
        <v>9</v>
      </c>
      <c r="CX12" s="155">
        <f t="shared" si="11"/>
        <v>7</v>
      </c>
      <c r="CY12" s="156" t="str">
        <f>IF(CW6&lt;7,"",VLOOKUP(7,CE6:CQ65,4,FALSE))</f>
        <v>GERMAN MILAN</v>
      </c>
      <c r="CZ12" s="155">
        <f>IF(CW6&lt;7,"",VLOOKUP(7,CE6:CQ65,10,FALSE))</f>
        <v>840</v>
      </c>
      <c r="DA12" s="8"/>
      <c r="DC12">
        <f>IF(DG12="","",DO12)</f>
        <v>34</v>
      </c>
      <c r="DD12" s="995">
        <v>2</v>
      </c>
      <c r="DE12" s="988" t="s">
        <v>167</v>
      </c>
      <c r="DF12" s="542" t="s">
        <v>37</v>
      </c>
      <c r="DG12" s="346">
        <v>149</v>
      </c>
      <c r="DH12" s="346">
        <v>112</v>
      </c>
      <c r="DI12" s="346">
        <v>113</v>
      </c>
      <c r="DJ12" s="346">
        <v>135</v>
      </c>
      <c r="DK12" s="346">
        <v>160</v>
      </c>
      <c r="DL12" s="165">
        <f>SUM(DG12:DK12)</f>
        <v>669</v>
      </c>
      <c r="DM12" s="165">
        <f t="shared" si="4"/>
        <v>160</v>
      </c>
      <c r="DN12" s="317">
        <f>SUM(DL12*1000)+DM12+0.45</f>
        <v>669160.44999999995</v>
      </c>
      <c r="DO12" s="326">
        <f>IF(DG12="","",RANK(DN12,DN6:DN65,0))</f>
        <v>34</v>
      </c>
      <c r="DP12" s="165"/>
      <c r="DQ12" s="249"/>
      <c r="DR12" s="249"/>
      <c r="DS12" s="985">
        <f>IF(DG12="","",RANK(DR17,DR11:DR65,0))</f>
        <v>8</v>
      </c>
      <c r="DV12" s="155">
        <f t="shared" si="12"/>
        <v>7</v>
      </c>
      <c r="DW12" s="156" t="str">
        <f>IF(DU6&lt;7,"",VLOOKUP(7,DC6:DO65,4,FALSE))</f>
        <v>Kalfiřt Petr</v>
      </c>
      <c r="DX12" s="155">
        <f>IF(DU6&lt;7,"",VLOOKUP(7,DC6:DO65,10,FALSE))</f>
        <v>822</v>
      </c>
      <c r="DY12" s="8"/>
      <c r="EA12">
        <f>IF(EE12="","",EM12)</f>
        <v>4</v>
      </c>
      <c r="EB12" s="995">
        <v>2</v>
      </c>
      <c r="EC12" s="1005" t="s">
        <v>150</v>
      </c>
      <c r="ED12" s="157" t="s">
        <v>27</v>
      </c>
      <c r="EE12" s="618">
        <v>167</v>
      </c>
      <c r="EF12" s="619">
        <v>160</v>
      </c>
      <c r="EG12" s="619">
        <v>167</v>
      </c>
      <c r="EH12" s="619">
        <v>203</v>
      </c>
      <c r="EI12" s="619">
        <v>192</v>
      </c>
      <c r="EJ12" s="620">
        <f>SUM(EE12:EI12)</f>
        <v>889</v>
      </c>
      <c r="EK12" s="165">
        <f t="shared" si="5"/>
        <v>203</v>
      </c>
      <c r="EL12" s="317">
        <f>SUM(EJ12*1000)+EK12+0.45</f>
        <v>889203.45</v>
      </c>
      <c r="EM12" s="326">
        <f>IF(EE12="","",RANK(EL12,EL6:EL65,0))</f>
        <v>4</v>
      </c>
      <c r="EN12" s="165"/>
      <c r="EO12" s="249"/>
      <c r="EP12" s="249"/>
      <c r="EQ12" s="1006">
        <f>IF(EE12="","",RANK(EP17,EP11:EP65,0))</f>
        <v>1</v>
      </c>
      <c r="ET12" s="155">
        <f t="shared" si="13"/>
        <v>7</v>
      </c>
      <c r="EU12" s="156" t="str">
        <f>IF(ES6&lt;7,"",VLOOKUP(7,EA6:EM65,4,FALSE))</f>
        <v>Krupa Jozef</v>
      </c>
      <c r="EV12" s="155">
        <f>IF(ES6&lt;7,"",VLOOKUP(7,EA6:EM65,10,FALSE))</f>
        <v>847</v>
      </c>
      <c r="EW12" s="8"/>
      <c r="EX12" s="8"/>
      <c r="EY12">
        <f>IF(FC12="","",FK12)</f>
        <v>37</v>
      </c>
      <c r="EZ12" s="1058">
        <v>2</v>
      </c>
      <c r="FA12" s="1048" t="s">
        <v>203</v>
      </c>
      <c r="FB12" s="775" t="s">
        <v>124</v>
      </c>
      <c r="FC12" s="784">
        <v>123</v>
      </c>
      <c r="FD12" s="784">
        <v>132</v>
      </c>
      <c r="FE12" s="784">
        <v>103</v>
      </c>
      <c r="FF12" s="784">
        <v>134</v>
      </c>
      <c r="FG12" s="784">
        <v>150</v>
      </c>
      <c r="FH12" s="678">
        <f>SUM(FC12:FG12)</f>
        <v>642</v>
      </c>
      <c r="FI12" s="678">
        <f t="shared" si="6"/>
        <v>150</v>
      </c>
      <c r="FJ12" s="679">
        <f>SUM(FH12*1000)+FI12+0.45</f>
        <v>642150.44999999995</v>
      </c>
      <c r="FK12" s="680">
        <f>IF(FC12="","",RANK(FJ12,FJ6:FJ65,0))</f>
        <v>37</v>
      </c>
      <c r="FL12" s="678"/>
      <c r="FM12" s="249"/>
      <c r="FN12" s="249"/>
      <c r="FO12" s="1055">
        <f>IF(FC12="","",RANK(FN17,FN11:FN65,0))</f>
        <v>9</v>
      </c>
      <c r="FP12" s="8"/>
      <c r="FQ12" s="804"/>
      <c r="FR12" s="811">
        <f t="shared" si="14"/>
        <v>7</v>
      </c>
      <c r="FS12" s="807" t="str">
        <f>IF(FQ6&lt;7,"",VLOOKUP(7,EY6:FL65,4,FALSE))</f>
        <v>Šafařík Luděk</v>
      </c>
      <c r="FT12" s="808">
        <f>IF(FQ6&lt;7,"",VLOOKUP(7,EY6:FL65,10,FALSE))</f>
        <v>833</v>
      </c>
      <c r="FU12" s="8"/>
      <c r="FW12">
        <f>IF(GA12="","",GI12)</f>
        <v>2</v>
      </c>
      <c r="FX12" s="995">
        <v>2</v>
      </c>
      <c r="FY12" s="982" t="s">
        <v>150</v>
      </c>
      <c r="FZ12" s="157"/>
      <c r="GA12" s="346">
        <v>2</v>
      </c>
      <c r="GB12" s="346">
        <v>1</v>
      </c>
      <c r="GC12" s="346"/>
      <c r="GD12" s="346"/>
      <c r="GE12" s="346"/>
      <c r="GF12" s="165">
        <f>SUM(GA12:GE12)</f>
        <v>3</v>
      </c>
      <c r="GG12" s="165">
        <f t="shared" si="7"/>
        <v>2</v>
      </c>
      <c r="GH12" s="317">
        <f>SUM(GF12*1000)+GG12+0.45</f>
        <v>3002.45</v>
      </c>
      <c r="GI12" s="326">
        <f>IF(GA12="","",RANK(GH12,GH6:GH70,0))</f>
        <v>2</v>
      </c>
      <c r="GJ12" s="165"/>
      <c r="GK12" s="249"/>
      <c r="GL12" s="249"/>
      <c r="GM12" s="985">
        <f>IF(GA12="","",RANK(GL17,GL11:GL71,0))</f>
        <v>2</v>
      </c>
      <c r="GP12" s="155">
        <f t="shared" si="15"/>
        <v>7</v>
      </c>
      <c r="GQ12" s="156" t="str">
        <f>IF(GO6&lt;7,"",VLOOKUP(7,FW6:GI70,4,FALSE))</f>
        <v/>
      </c>
      <c r="GR12" s="155" t="str">
        <f>IF(GO6&lt;7,"",VLOOKUP(7,FW6:GI70,10,FALSE))</f>
        <v/>
      </c>
    </row>
    <row r="13" spans="1:200" ht="15" customHeight="1">
      <c r="A13" s="917"/>
      <c r="B13" s="1007" t="s">
        <v>152</v>
      </c>
      <c r="C13" s="1007"/>
      <c r="D13" s="1008" t="s">
        <v>153</v>
      </c>
      <c r="E13" s="917"/>
      <c r="F13" s="1018"/>
      <c r="G13" s="1018"/>
      <c r="H13" s="915"/>
      <c r="I13" s="915"/>
      <c r="J13" s="916"/>
      <c r="K13" s="915"/>
      <c r="L13" s="915"/>
      <c r="M13" s="915"/>
      <c r="O13">
        <f>IF(S13="","",AA13)</f>
        <v>27</v>
      </c>
      <c r="P13" s="980"/>
      <c r="Q13" s="983"/>
      <c r="R13" s="158" t="s">
        <v>154</v>
      </c>
      <c r="S13" s="327">
        <v>143</v>
      </c>
      <c r="T13" s="319">
        <v>117</v>
      </c>
      <c r="U13" s="319">
        <v>137</v>
      </c>
      <c r="V13" s="319">
        <v>138</v>
      </c>
      <c r="W13" s="319">
        <v>129</v>
      </c>
      <c r="X13" s="159">
        <f>SUM(S13:W13)</f>
        <v>664</v>
      </c>
      <c r="Y13" s="165">
        <f t="shared" si="0"/>
        <v>143</v>
      </c>
      <c r="Z13" s="317">
        <f>SUM(X13*1000)+Y13+0.44</f>
        <v>664143.43999999994</v>
      </c>
      <c r="AA13" s="328">
        <f>IF(S13="","",RANK(Z13,Z6:Z65,0))</f>
        <v>27</v>
      </c>
      <c r="AB13" s="159"/>
      <c r="AC13" s="986"/>
      <c r="AF13" s="155">
        <f t="shared" si="8"/>
        <v>8</v>
      </c>
      <c r="AG13" s="156" t="str">
        <f>IF(AE6&lt;8,"",VLOOKUP(8,O6:AA65,4,FALSE))</f>
        <v>PECKA JIŘÍ</v>
      </c>
      <c r="AH13" s="155">
        <f>IF(AE6&lt;8,"",VLOOKUP(8,O6:AA65,10,FALSE))</f>
        <v>814</v>
      </c>
      <c r="AI13" s="8"/>
      <c r="AK13">
        <f>IF(AO13="","",AW13)</f>
        <v>35</v>
      </c>
      <c r="AL13" s="980"/>
      <c r="AM13" s="983"/>
      <c r="AN13" s="237" t="s">
        <v>206</v>
      </c>
      <c r="AO13" s="327">
        <v>123</v>
      </c>
      <c r="AP13" s="319">
        <v>123</v>
      </c>
      <c r="AQ13" s="319">
        <v>135</v>
      </c>
      <c r="AR13" s="319">
        <v>141</v>
      </c>
      <c r="AS13" s="319">
        <v>114</v>
      </c>
      <c r="AT13" s="159">
        <f>SUM(AO13:AS13)</f>
        <v>636</v>
      </c>
      <c r="AU13" s="165">
        <f t="shared" si="1"/>
        <v>141</v>
      </c>
      <c r="AV13" s="317">
        <f>SUM(AT13*1000)+AU13+0.44</f>
        <v>636141.43999999994</v>
      </c>
      <c r="AW13" s="328">
        <f>IF(AO13="","",RANK(AV13,AV6:AV65,0))</f>
        <v>35</v>
      </c>
      <c r="AX13" s="159"/>
      <c r="AY13" s="986"/>
      <c r="BB13" s="155">
        <f t="shared" si="9"/>
        <v>8</v>
      </c>
      <c r="BC13" s="156" t="str">
        <f>IF(BA6&lt;8,"",VLOOKUP(8,AK6:AW65,4,FALSE))</f>
        <v>NOVOTNÝ LUKÁŠ</v>
      </c>
      <c r="BD13" s="155">
        <f>IF(BA6&lt;8,"",VLOOKUP(8,AK6:AW65,10,FALSE))</f>
        <v>833</v>
      </c>
      <c r="BE13" s="8"/>
      <c r="BG13">
        <f>IF(BK13="","",BS13)</f>
        <v>32</v>
      </c>
      <c r="BH13" s="980"/>
      <c r="BI13" s="983"/>
      <c r="BJ13" s="257" t="s">
        <v>193</v>
      </c>
      <c r="BK13" s="344">
        <v>170</v>
      </c>
      <c r="BL13" s="345">
        <v>136</v>
      </c>
      <c r="BM13" s="345">
        <v>138</v>
      </c>
      <c r="BN13" s="345">
        <v>121</v>
      </c>
      <c r="BO13" s="345">
        <v>111</v>
      </c>
      <c r="BP13" s="159">
        <f>SUM(BK13:BO13)</f>
        <v>676</v>
      </c>
      <c r="BQ13" s="165">
        <f t="shared" si="2"/>
        <v>170</v>
      </c>
      <c r="BR13" s="317">
        <f>SUM(BP13*1000)+BQ13+0.44</f>
        <v>676170.44</v>
      </c>
      <c r="BS13" s="328">
        <f>IF(BK13="","",RANK(BR13,BR6:BR65,0))</f>
        <v>32</v>
      </c>
      <c r="BT13" s="159"/>
      <c r="BU13" s="250"/>
      <c r="BV13" s="250"/>
      <c r="BW13" s="986"/>
      <c r="BZ13" s="155">
        <f t="shared" si="10"/>
        <v>8</v>
      </c>
      <c r="CA13" s="156" t="str">
        <f>IF(BY6&lt;8,"",VLOOKUP(8,BG6:BS65,4,FALSE))</f>
        <v>LAZUR VLADIMÍR</v>
      </c>
      <c r="CB13" s="155">
        <f>IF(BY6&lt;8,"",VLOOKUP(8,BG6:BS65,10,FALSE))</f>
        <v>831</v>
      </c>
      <c r="CC13" s="8"/>
      <c r="CE13">
        <f>IF(CI13="","",CQ13)</f>
        <v>48</v>
      </c>
      <c r="CF13" s="980"/>
      <c r="CG13" s="983"/>
      <c r="CH13" s="257" t="s">
        <v>233</v>
      </c>
      <c r="CI13" s="327">
        <v>98</v>
      </c>
      <c r="CJ13" s="327">
        <v>106</v>
      </c>
      <c r="CK13" s="327">
        <v>118</v>
      </c>
      <c r="CL13" s="327">
        <v>82</v>
      </c>
      <c r="CM13" s="327">
        <v>107</v>
      </c>
      <c r="CN13" s="159">
        <f>SUM(CI13:CM13)</f>
        <v>511</v>
      </c>
      <c r="CO13" s="165">
        <f t="shared" si="3"/>
        <v>118</v>
      </c>
      <c r="CP13" s="317">
        <f>SUM(CN13*1000)+CO13+0.44</f>
        <v>511118.44</v>
      </c>
      <c r="CQ13" s="328">
        <f>IF(CI13="","",RANK(CP13,CP6:CP65,0))</f>
        <v>48</v>
      </c>
      <c r="CR13" s="159"/>
      <c r="CS13" s="250"/>
      <c r="CT13" s="250"/>
      <c r="CU13" s="986"/>
      <c r="CX13" s="155">
        <f t="shared" si="11"/>
        <v>8</v>
      </c>
      <c r="CY13" s="156" t="str">
        <f>IF(CW6&lt;8,"",VLOOKUP(8,CE6:CQ65,4,FALSE))</f>
        <v>KALFIŘT PETR</v>
      </c>
      <c r="CZ13" s="155">
        <f>IF(CW6&lt;8,"",VLOOKUP(8,CE6:CQ65,10,FALSE))</f>
        <v>807</v>
      </c>
      <c r="DA13" s="8"/>
      <c r="DC13">
        <f>IF(DG13="","",DO13)</f>
        <v>46</v>
      </c>
      <c r="DD13" s="980"/>
      <c r="DE13" s="989"/>
      <c r="DF13" s="543" t="s">
        <v>289</v>
      </c>
      <c r="DG13" s="347">
        <v>99</v>
      </c>
      <c r="DH13" s="347">
        <v>119</v>
      </c>
      <c r="DI13" s="347">
        <v>109</v>
      </c>
      <c r="DJ13" s="347">
        <v>116</v>
      </c>
      <c r="DK13" s="347">
        <v>114</v>
      </c>
      <c r="DL13" s="159">
        <f>SUM(DG13:DK13)</f>
        <v>557</v>
      </c>
      <c r="DM13" s="165">
        <f t="shared" si="4"/>
        <v>119</v>
      </c>
      <c r="DN13" s="317">
        <f>SUM(DL13*1000)+DM13+0.44</f>
        <v>557119.43999999994</v>
      </c>
      <c r="DO13" s="328">
        <f>IF(DG13="","",RANK(DN13,DN6:DN65,0))</f>
        <v>46</v>
      </c>
      <c r="DP13" s="159"/>
      <c r="DQ13" s="250"/>
      <c r="DR13" s="250"/>
      <c r="DS13" s="986"/>
      <c r="DV13" s="155">
        <f t="shared" si="12"/>
        <v>8</v>
      </c>
      <c r="DW13" s="156" t="str">
        <f>IF(DU6&lt;8,"",VLOOKUP(8,DC6:DO65,4,FALSE))</f>
        <v>Šafařík Luděk</v>
      </c>
      <c r="DX13" s="155">
        <f>IF(DU6&lt;8,"",VLOOKUP(8,DC6:DO65,10,FALSE))</f>
        <v>805</v>
      </c>
      <c r="DY13" s="8"/>
      <c r="EA13">
        <f>IF(EE13="","",EM13)</f>
        <v>10</v>
      </c>
      <c r="EB13" s="980"/>
      <c r="EC13" s="1003"/>
      <c r="ED13" s="160" t="s">
        <v>35</v>
      </c>
      <c r="EE13" s="621">
        <v>188</v>
      </c>
      <c r="EF13" s="622">
        <v>162</v>
      </c>
      <c r="EG13" s="622">
        <v>127</v>
      </c>
      <c r="EH13" s="622">
        <v>195</v>
      </c>
      <c r="EI13" s="622">
        <v>142</v>
      </c>
      <c r="EJ13" s="623">
        <f>SUM(EE13:EI13)</f>
        <v>814</v>
      </c>
      <c r="EK13" s="165">
        <f t="shared" si="5"/>
        <v>195</v>
      </c>
      <c r="EL13" s="317">
        <f>SUM(EJ13*1000)+EK13+0.44</f>
        <v>814195.44</v>
      </c>
      <c r="EM13" s="328">
        <f>IF(EE13="","",RANK(EL13,EL6:EL65,0))</f>
        <v>10</v>
      </c>
      <c r="EN13" s="159"/>
      <c r="EO13" s="250"/>
      <c r="EP13" s="250"/>
      <c r="EQ13" s="992"/>
      <c r="ET13" s="155">
        <f t="shared" si="13"/>
        <v>8</v>
      </c>
      <c r="EU13" s="156" t="str">
        <f>IF(ES6&lt;8,"",VLOOKUP(8,EA6:EM65,4,FALSE))</f>
        <v>Pospíšil Václav</v>
      </c>
      <c r="EV13" s="155">
        <f>IF(ES6&lt;8,"",VLOOKUP(8,EA6:EM65,10,FALSE))</f>
        <v>834</v>
      </c>
      <c r="EW13" s="8"/>
      <c r="EX13" s="8"/>
      <c r="EY13">
        <f>IF(FC13="","",FK13)</f>
        <v>49</v>
      </c>
      <c r="EZ13" s="1059"/>
      <c r="FA13" s="1049"/>
      <c r="FB13" s="776" t="s">
        <v>29</v>
      </c>
      <c r="FC13" s="681">
        <v>119</v>
      </c>
      <c r="FD13" s="681">
        <v>128</v>
      </c>
      <c r="FE13" s="681">
        <v>111</v>
      </c>
      <c r="FF13" s="681">
        <v>92</v>
      </c>
      <c r="FG13" s="681">
        <v>94</v>
      </c>
      <c r="FH13" s="682">
        <f>SUM(FC13:FG13)</f>
        <v>544</v>
      </c>
      <c r="FI13" s="678">
        <f t="shared" si="6"/>
        <v>128</v>
      </c>
      <c r="FJ13" s="679">
        <f>SUM(FH13*1000)+FI13+0.44</f>
        <v>544128.43999999994</v>
      </c>
      <c r="FK13" s="683">
        <f>IF(FC13="","",RANK(FJ13,FJ6:FJ65,0))</f>
        <v>49</v>
      </c>
      <c r="FL13" s="682"/>
      <c r="FM13" s="250"/>
      <c r="FN13" s="250"/>
      <c r="FO13" s="1055"/>
      <c r="FP13" s="8"/>
      <c r="FQ13" s="804"/>
      <c r="FR13" s="811">
        <f t="shared" si="14"/>
        <v>8</v>
      </c>
      <c r="FS13" s="807" t="str">
        <f>IF(FQ6&lt;8,"",VLOOKUP(8,EY6:FL65,4,FALSE))</f>
        <v>Jelínek Jan</v>
      </c>
      <c r="FT13" s="808">
        <f>IF(FQ6&lt;8,"",VLOOKUP(8,EY6:FL65,10,FALSE))</f>
        <v>816</v>
      </c>
      <c r="FU13" s="8"/>
      <c r="FW13" t="str">
        <f>IF(GA13="","",GI13)</f>
        <v/>
      </c>
      <c r="FX13" s="980"/>
      <c r="FY13" s="983"/>
      <c r="FZ13" s="160"/>
      <c r="GA13" s="347"/>
      <c r="GB13" s="347"/>
      <c r="GC13" s="347"/>
      <c r="GD13" s="347"/>
      <c r="GE13" s="347"/>
      <c r="GF13" s="159">
        <f>SUM(GA13:GE13)</f>
        <v>0</v>
      </c>
      <c r="GG13" s="165">
        <f t="shared" si="7"/>
        <v>0</v>
      </c>
      <c r="GH13" s="317">
        <f>SUM(GF13*1000)+GG13+0.44</f>
        <v>0.44</v>
      </c>
      <c r="GI13" s="328" t="str">
        <f>IF(GA13="","",RANK(GH13,GH6:GH70,0))</f>
        <v/>
      </c>
      <c r="GJ13" s="159"/>
      <c r="GK13" s="250"/>
      <c r="GL13" s="250"/>
      <c r="GM13" s="986"/>
      <c r="GP13" s="155">
        <f t="shared" si="15"/>
        <v>8</v>
      </c>
      <c r="GQ13" s="156" t="str">
        <f>IF(GO6&lt;8,"",VLOOKUP(8,FW6:GI70,4,FALSE))</f>
        <v/>
      </c>
      <c r="GR13" s="155" t="str">
        <f>IF(GO6&lt;8,"",VLOOKUP(8,FW6:GI70,10,FALSE))</f>
        <v/>
      </c>
    </row>
    <row r="14" spans="1:200" ht="15" customHeight="1">
      <c r="A14" s="917"/>
      <c r="B14" s="1007"/>
      <c r="C14" s="1007"/>
      <c r="D14" s="1009"/>
      <c r="E14" s="917"/>
      <c r="F14" s="1018"/>
      <c r="G14" s="1018"/>
      <c r="H14" s="915"/>
      <c r="I14" s="915"/>
      <c r="J14" s="915"/>
      <c r="K14" s="915"/>
      <c r="L14" s="915"/>
      <c r="M14" s="915"/>
      <c r="O14">
        <f>IF(S14="","",AA14)</f>
        <v>12</v>
      </c>
      <c r="P14" s="980"/>
      <c r="Q14" s="983"/>
      <c r="R14" s="158" t="s">
        <v>155</v>
      </c>
      <c r="S14" s="327">
        <v>171</v>
      </c>
      <c r="T14" s="319">
        <v>125</v>
      </c>
      <c r="U14" s="319">
        <v>154</v>
      </c>
      <c r="V14" s="319">
        <v>156</v>
      </c>
      <c r="W14" s="319">
        <v>171</v>
      </c>
      <c r="X14" s="159">
        <f>SUM(S14:W14)</f>
        <v>777</v>
      </c>
      <c r="Y14" s="165">
        <f t="shared" si="0"/>
        <v>171</v>
      </c>
      <c r="Z14" s="317">
        <f>SUM(X14*1000)+Y14+0.43</f>
        <v>777171.43</v>
      </c>
      <c r="AA14" s="328">
        <f>IF(S14="","",RANK(Z14,Z6:Z65,0))</f>
        <v>12</v>
      </c>
      <c r="AB14" s="159"/>
      <c r="AC14" s="986"/>
      <c r="AF14" s="155">
        <f t="shared" si="8"/>
        <v>9</v>
      </c>
      <c r="AG14" s="156" t="str">
        <f>IF(AE6&lt;9,"",VLOOKUP(9,O6:AA65,4,FALSE))</f>
        <v>KRUPA JOZEF</v>
      </c>
      <c r="AH14" s="155">
        <f>IF(AE6&lt;9,"",VLOOKUP(9,O6:AA65,10,FALSE))</f>
        <v>799</v>
      </c>
      <c r="AI14" s="8"/>
      <c r="AK14">
        <f>IF(AO14="","",AW14)</f>
        <v>28</v>
      </c>
      <c r="AL14" s="980"/>
      <c r="AM14" s="983"/>
      <c r="AN14" s="237" t="s">
        <v>228</v>
      </c>
      <c r="AO14" s="327">
        <v>133</v>
      </c>
      <c r="AP14" s="319">
        <v>138</v>
      </c>
      <c r="AQ14" s="319">
        <v>139</v>
      </c>
      <c r="AR14" s="319">
        <v>150</v>
      </c>
      <c r="AS14" s="319">
        <v>126</v>
      </c>
      <c r="AT14" s="159">
        <f>SUM(AO14:AS14)</f>
        <v>686</v>
      </c>
      <c r="AU14" s="165">
        <f t="shared" si="1"/>
        <v>150</v>
      </c>
      <c r="AV14" s="317">
        <f>SUM(AT14*1000)+AU14+0.43</f>
        <v>686150.43</v>
      </c>
      <c r="AW14" s="328">
        <f>IF(AO14="","",RANK(AV14,AV6:AV65,0))</f>
        <v>28</v>
      </c>
      <c r="AX14" s="159"/>
      <c r="AY14" s="986"/>
      <c r="BB14" s="155">
        <f t="shared" si="9"/>
        <v>9</v>
      </c>
      <c r="BC14" s="156" t="str">
        <f>IF(BA6&lt;9,"",VLOOKUP(9,AK6:AW65,4,FALSE))</f>
        <v>PECKA JIŘÍ</v>
      </c>
      <c r="BD14" s="155">
        <f>IF(BA6&lt;9,"",VLOOKUP(9,AK6:AW65,10,FALSE))</f>
        <v>831</v>
      </c>
      <c r="BE14" s="8"/>
      <c r="BG14">
        <f>IF(BK14="","",BS14)</f>
        <v>33</v>
      </c>
      <c r="BH14" s="980"/>
      <c r="BI14" s="983"/>
      <c r="BJ14" s="257" t="s">
        <v>238</v>
      </c>
      <c r="BK14" s="344">
        <v>118</v>
      </c>
      <c r="BL14" s="345">
        <v>130</v>
      </c>
      <c r="BM14" s="345">
        <v>124</v>
      </c>
      <c r="BN14" s="345">
        <v>177</v>
      </c>
      <c r="BO14" s="345">
        <v>124</v>
      </c>
      <c r="BP14" s="159">
        <f>SUM(BK14:BO14)</f>
        <v>673</v>
      </c>
      <c r="BQ14" s="165">
        <f t="shared" si="2"/>
        <v>177</v>
      </c>
      <c r="BR14" s="317">
        <f>SUM(BP14*1000)+BQ14+0.43</f>
        <v>673177.43</v>
      </c>
      <c r="BS14" s="328">
        <f>IF(BK14="","",RANK(BR14,BR6:BR65,0))</f>
        <v>33</v>
      </c>
      <c r="BT14" s="159"/>
      <c r="BU14" s="250"/>
      <c r="BV14" s="250"/>
      <c r="BW14" s="986"/>
      <c r="BZ14" s="155">
        <f t="shared" si="10"/>
        <v>9</v>
      </c>
      <c r="CA14" s="156" t="str">
        <f>IF(BY6&lt;9,"",VLOOKUP(9,BG6:BS65,4,FALSE))</f>
        <v>PODHOLA MARTIN</v>
      </c>
      <c r="CB14" s="155">
        <f>IF(BY6&lt;9,"",VLOOKUP(9,BG6:BS65,10,FALSE))</f>
        <v>824</v>
      </c>
      <c r="CC14" s="8"/>
      <c r="CE14">
        <f>IF(CI14="","",CQ14)</f>
        <v>34</v>
      </c>
      <c r="CF14" s="980"/>
      <c r="CG14" s="983"/>
      <c r="CH14" s="257" t="s">
        <v>180</v>
      </c>
      <c r="CI14" s="327">
        <v>117</v>
      </c>
      <c r="CJ14" s="327">
        <v>125</v>
      </c>
      <c r="CK14" s="327">
        <v>132</v>
      </c>
      <c r="CL14" s="327">
        <v>143</v>
      </c>
      <c r="CM14" s="327">
        <v>114</v>
      </c>
      <c r="CN14" s="159">
        <f>SUM(CI14:CM14)</f>
        <v>631</v>
      </c>
      <c r="CO14" s="165">
        <f t="shared" si="3"/>
        <v>143</v>
      </c>
      <c r="CP14" s="317">
        <f>SUM(CN14*1000)+CO14+0.43</f>
        <v>631143.43000000005</v>
      </c>
      <c r="CQ14" s="328">
        <f>IF(CI14="","",RANK(CP14,CP6:CP65,0))</f>
        <v>34</v>
      </c>
      <c r="CR14" s="159"/>
      <c r="CS14" s="250"/>
      <c r="CT14" s="250"/>
      <c r="CU14" s="986"/>
      <c r="CX14" s="155">
        <f t="shared" si="11"/>
        <v>9</v>
      </c>
      <c r="CY14" s="156" t="str">
        <f>IF(CW6&lt;9,"",VLOOKUP(9,CE6:CQ65,4,FALSE))</f>
        <v>KROČIL TOMÁŠ</v>
      </c>
      <c r="CZ14" s="155">
        <f>IF(CW6&lt;9,"",VLOOKUP(9,CE6:CQ65,10,FALSE))</f>
        <v>791</v>
      </c>
      <c r="DA14" s="8"/>
      <c r="DC14">
        <f>IF(DG14="","",DO14)</f>
        <v>22</v>
      </c>
      <c r="DD14" s="980"/>
      <c r="DE14" s="989"/>
      <c r="DF14" s="543" t="s">
        <v>18</v>
      </c>
      <c r="DG14" s="347">
        <v>126</v>
      </c>
      <c r="DH14" s="347">
        <v>130</v>
      </c>
      <c r="DI14" s="347">
        <v>135</v>
      </c>
      <c r="DJ14" s="347">
        <v>140</v>
      </c>
      <c r="DK14" s="347">
        <v>187</v>
      </c>
      <c r="DL14" s="159">
        <f>SUM(DG14:DK14)</f>
        <v>718</v>
      </c>
      <c r="DM14" s="165">
        <f t="shared" si="4"/>
        <v>187</v>
      </c>
      <c r="DN14" s="317">
        <f>SUM(DL14*1000)+DM14+0.43</f>
        <v>718187.43</v>
      </c>
      <c r="DO14" s="328">
        <f>IF(DG14="","",RANK(DN14,DN6:DN65,0))</f>
        <v>22</v>
      </c>
      <c r="DP14" s="159"/>
      <c r="DQ14" s="250"/>
      <c r="DR14" s="250"/>
      <c r="DS14" s="986"/>
      <c r="DV14" s="155">
        <f t="shared" si="12"/>
        <v>9</v>
      </c>
      <c r="DW14" s="156" t="str">
        <f>IF(DU6&lt;9,"",VLOOKUP(9,DC6:DO65,4,FALSE))</f>
        <v>Kročil Tomáš</v>
      </c>
      <c r="DX14" s="155">
        <f>IF(DU6&lt;9,"",VLOOKUP(9,DC6:DO65,10,FALSE))</f>
        <v>802</v>
      </c>
      <c r="DY14" s="8"/>
      <c r="EA14">
        <f>IF(EE14="","",EM14)</f>
        <v>12</v>
      </c>
      <c r="EB14" s="980"/>
      <c r="EC14" s="1003"/>
      <c r="ED14" s="160" t="s">
        <v>244</v>
      </c>
      <c r="EE14" s="621">
        <v>161</v>
      </c>
      <c r="EF14" s="622">
        <v>160</v>
      </c>
      <c r="EG14" s="622">
        <v>150</v>
      </c>
      <c r="EH14" s="622">
        <v>151</v>
      </c>
      <c r="EI14" s="622">
        <v>156</v>
      </c>
      <c r="EJ14" s="623">
        <f>SUM(EE14:EI14)</f>
        <v>778</v>
      </c>
      <c r="EK14" s="165">
        <f t="shared" si="5"/>
        <v>161</v>
      </c>
      <c r="EL14" s="317">
        <f>SUM(EJ14*1000)+EK14+0.43</f>
        <v>778161.43</v>
      </c>
      <c r="EM14" s="328">
        <f>IF(EE14="","",RANK(EL14,EL6:EL65,0))</f>
        <v>12</v>
      </c>
      <c r="EN14" s="159"/>
      <c r="EO14" s="250"/>
      <c r="EP14" s="250"/>
      <c r="EQ14" s="992"/>
      <c r="ET14" s="155">
        <f t="shared" si="13"/>
        <v>9</v>
      </c>
      <c r="EU14" s="156" t="str">
        <f>IF(ES6&lt;9,"",VLOOKUP(9,EA6:EM65,4,FALSE))</f>
        <v>Holkup Jan</v>
      </c>
      <c r="EV14" s="155">
        <f>IF(ES6&lt;9,"",VLOOKUP(9,EA6:EM65,10,FALSE))</f>
        <v>823</v>
      </c>
      <c r="EW14" s="8"/>
      <c r="EX14" s="8"/>
      <c r="EY14">
        <f>IF(FC14="","",FK14)</f>
        <v>24</v>
      </c>
      <c r="EZ14" s="1059"/>
      <c r="FA14" s="1049"/>
      <c r="FB14" s="776" t="s">
        <v>31</v>
      </c>
      <c r="FC14" s="681">
        <v>137</v>
      </c>
      <c r="FD14" s="681">
        <v>108</v>
      </c>
      <c r="FE14" s="681">
        <v>176</v>
      </c>
      <c r="FF14" s="681">
        <v>147</v>
      </c>
      <c r="FG14" s="681">
        <v>129</v>
      </c>
      <c r="FH14" s="682">
        <f>SUM(FC14:FG14)</f>
        <v>697</v>
      </c>
      <c r="FI14" s="678">
        <f t="shared" si="6"/>
        <v>176</v>
      </c>
      <c r="FJ14" s="679">
        <f>SUM(FH14*1000)+FI14+0.43</f>
        <v>697176.43</v>
      </c>
      <c r="FK14" s="683">
        <f>IF(FC14="","",RANK(FJ14,FJ6:FJ65,0))</f>
        <v>24</v>
      </c>
      <c r="FL14" s="682"/>
      <c r="FM14" s="250"/>
      <c r="FN14" s="250"/>
      <c r="FO14" s="1055"/>
      <c r="FP14" s="8"/>
      <c r="FQ14" s="804"/>
      <c r="FR14" s="811">
        <f t="shared" si="14"/>
        <v>9</v>
      </c>
      <c r="FS14" s="807" t="str">
        <f>IF(FQ6&lt;9,"",VLOOKUP(9,EY6:FL65,4,FALSE))</f>
        <v>Carvan Pavel</v>
      </c>
      <c r="FT14" s="808">
        <f>IF(FQ6&lt;9,"",VLOOKUP(9,EY6:FL65,10,FALSE))</f>
        <v>810</v>
      </c>
      <c r="FU14" s="8"/>
      <c r="FW14" t="str">
        <f>IF(GA14="","",GI14)</f>
        <v/>
      </c>
      <c r="FX14" s="980"/>
      <c r="FY14" s="983"/>
      <c r="FZ14" s="160"/>
      <c r="GA14" s="347"/>
      <c r="GB14" s="347"/>
      <c r="GC14" s="347"/>
      <c r="GD14" s="347"/>
      <c r="GE14" s="347"/>
      <c r="GF14" s="159">
        <f>SUM(GA14:GE14)</f>
        <v>0</v>
      </c>
      <c r="GG14" s="165">
        <f t="shared" si="7"/>
        <v>0</v>
      </c>
      <c r="GH14" s="317">
        <f>SUM(GF14*1000)+GG14+0.43</f>
        <v>0.43</v>
      </c>
      <c r="GI14" s="328" t="str">
        <f>IF(GA14="","",RANK(GH14,GH6:GH70,0))</f>
        <v/>
      </c>
      <c r="GJ14" s="159"/>
      <c r="GK14" s="250"/>
      <c r="GL14" s="250"/>
      <c r="GM14" s="986"/>
      <c r="GP14" s="155">
        <f t="shared" si="15"/>
        <v>9</v>
      </c>
      <c r="GQ14" s="156" t="str">
        <f>IF(GO6&lt;9,"",VLOOKUP(9,FW6:GI70,4,FALSE))</f>
        <v/>
      </c>
      <c r="GR14" s="155" t="str">
        <f>IF(GO6&lt;9,"",VLOOKUP(9,FW6:GI70,10,FALSE))</f>
        <v/>
      </c>
    </row>
    <row r="15" spans="1:200" ht="15" customHeight="1">
      <c r="A15" s="917"/>
      <c r="B15" s="1010" t="s">
        <v>156</v>
      </c>
      <c r="C15" s="1010"/>
      <c r="D15" s="1011" t="s">
        <v>269</v>
      </c>
      <c r="E15" s="917"/>
      <c r="F15" s="915"/>
      <c r="G15" s="915"/>
      <c r="H15" s="915"/>
      <c r="I15" s="915"/>
      <c r="J15" s="915"/>
      <c r="K15" s="915"/>
      <c r="L15" s="915"/>
      <c r="M15" s="915"/>
      <c r="O15">
        <f>IF(S15="","",AA15)</f>
        <v>11</v>
      </c>
      <c r="P15" s="980"/>
      <c r="Q15" s="983"/>
      <c r="R15" s="158" t="s">
        <v>157</v>
      </c>
      <c r="S15" s="327">
        <v>144</v>
      </c>
      <c r="T15" s="319">
        <v>169</v>
      </c>
      <c r="U15" s="319">
        <v>188</v>
      </c>
      <c r="V15" s="319">
        <v>124</v>
      </c>
      <c r="W15" s="319">
        <v>161</v>
      </c>
      <c r="X15" s="159">
        <f>SUM(S15:W15)</f>
        <v>786</v>
      </c>
      <c r="Y15" s="165">
        <f t="shared" si="0"/>
        <v>188</v>
      </c>
      <c r="Z15" s="317">
        <f>SUM(X15*1000)+Y15+0.42</f>
        <v>786188.42</v>
      </c>
      <c r="AA15" s="328">
        <f>IF(S15="","",RANK(Z15,Z6:Z65,0))</f>
        <v>11</v>
      </c>
      <c r="AB15" s="159"/>
      <c r="AC15" s="986"/>
      <c r="AF15" s="155">
        <f t="shared" si="8"/>
        <v>10</v>
      </c>
      <c r="AG15" s="166" t="str">
        <f>IF(AE6&lt;10,"",VLOOKUP(10,O6:AA65,4,FALSE))</f>
        <v>ONDŘICH FRANTIŠEK</v>
      </c>
      <c r="AH15" s="155">
        <f>IF(AE6&lt;10,"",VLOOKUP(10,O6:AA65,10,FALSE))</f>
        <v>796</v>
      </c>
      <c r="AI15" s="8"/>
      <c r="AK15">
        <f>IF(AO15="","",AW15)</f>
        <v>46</v>
      </c>
      <c r="AL15" s="980"/>
      <c r="AM15" s="983"/>
      <c r="AN15" s="237" t="s">
        <v>207</v>
      </c>
      <c r="AO15" s="327">
        <v>135</v>
      </c>
      <c r="AP15" s="319">
        <v>121</v>
      </c>
      <c r="AQ15" s="319">
        <v>81</v>
      </c>
      <c r="AR15" s="319">
        <v>133</v>
      </c>
      <c r="AS15" s="319">
        <v>103</v>
      </c>
      <c r="AT15" s="159">
        <f>SUM(AO15:AS15)</f>
        <v>573</v>
      </c>
      <c r="AU15" s="165">
        <f t="shared" si="1"/>
        <v>135</v>
      </c>
      <c r="AV15" s="317">
        <f>SUM(AT15*1000)+AU15+0.42</f>
        <v>573135.42000000004</v>
      </c>
      <c r="AW15" s="328">
        <f>IF(AO15="","",RANK(AV15,AV6:AV65,0))</f>
        <v>46</v>
      </c>
      <c r="AX15" s="159"/>
      <c r="AY15" s="986"/>
      <c r="BB15" s="155">
        <f t="shared" si="9"/>
        <v>10</v>
      </c>
      <c r="BC15" s="166" t="str">
        <f>IF(BA6&lt;10,"",VLOOKUP(10,AK6:AW65,4,FALSE))</f>
        <v>MAŠÁT PETR</v>
      </c>
      <c r="BD15" s="155">
        <f>IF(BA6&lt;10,"",VLOOKUP(10,AK6:AW65,10,FALSE))</f>
        <v>826</v>
      </c>
      <c r="BE15" s="8"/>
      <c r="BG15">
        <f>IF(BK15="","",BS15)</f>
        <v>39</v>
      </c>
      <c r="BH15" s="980"/>
      <c r="BI15" s="983"/>
      <c r="BJ15" s="257" t="s">
        <v>195</v>
      </c>
      <c r="BK15" s="344">
        <v>121</v>
      </c>
      <c r="BL15" s="345">
        <v>130</v>
      </c>
      <c r="BM15" s="345">
        <v>134</v>
      </c>
      <c r="BN15" s="345">
        <v>121</v>
      </c>
      <c r="BO15" s="345">
        <v>105</v>
      </c>
      <c r="BP15" s="159">
        <f>SUM(BK15:BO15)</f>
        <v>611</v>
      </c>
      <c r="BQ15" s="165">
        <f t="shared" si="2"/>
        <v>134</v>
      </c>
      <c r="BR15" s="317">
        <f>SUM(BP15*1000)+BQ15+0.42</f>
        <v>611134.42000000004</v>
      </c>
      <c r="BS15" s="328">
        <f>IF(BK15="","",RANK(BR15,BR6:BR65,0))</f>
        <v>39</v>
      </c>
      <c r="BT15" s="159"/>
      <c r="BU15" s="250"/>
      <c r="BV15" s="250"/>
      <c r="BW15" s="986"/>
      <c r="BZ15" s="155">
        <f t="shared" si="10"/>
        <v>10</v>
      </c>
      <c r="CA15" s="166" t="str">
        <f>IF(BY6&lt;10,"",VLOOKUP(10,BG6:BS65,4,FALSE))</f>
        <v>POSPÍŠIL VÁCLAV</v>
      </c>
      <c r="CB15" s="155">
        <f>IF(BY6&lt;10,"",VLOOKUP(10,BG6:BS65,10,FALSE))</f>
        <v>814</v>
      </c>
      <c r="CC15" s="8"/>
      <c r="CE15">
        <f>IF(CI15="","",CQ15)</f>
        <v>33</v>
      </c>
      <c r="CF15" s="980"/>
      <c r="CG15" s="983"/>
      <c r="CH15" s="257" t="s">
        <v>231</v>
      </c>
      <c r="CI15" s="327">
        <v>124</v>
      </c>
      <c r="CJ15" s="327">
        <v>127</v>
      </c>
      <c r="CK15" s="327">
        <v>139</v>
      </c>
      <c r="CL15" s="327">
        <v>140</v>
      </c>
      <c r="CM15" s="327">
        <v>102</v>
      </c>
      <c r="CN15" s="159">
        <f>SUM(CI15:CM15)</f>
        <v>632</v>
      </c>
      <c r="CO15" s="165">
        <f t="shared" si="3"/>
        <v>140</v>
      </c>
      <c r="CP15" s="317">
        <f>SUM(CN15*1000)+CO15+0.42</f>
        <v>632140.42000000004</v>
      </c>
      <c r="CQ15" s="328">
        <f>IF(CI15="","",RANK(CP15,CP6:CP65,0))</f>
        <v>33</v>
      </c>
      <c r="CR15" s="159"/>
      <c r="CS15" s="250"/>
      <c r="CT15" s="250"/>
      <c r="CU15" s="986"/>
      <c r="CX15" s="155">
        <f t="shared" si="11"/>
        <v>10</v>
      </c>
      <c r="CY15" s="166" t="str">
        <f>IF(CW6&lt;10,"",VLOOKUP(10,CE6:CQ65,4,FALSE))</f>
        <v>DOUŠA ADAM</v>
      </c>
      <c r="CZ15" s="155">
        <f>IF(CW6&lt;10,"",VLOOKUP(10,CE6:CQ65,10,FALSE))</f>
        <v>785</v>
      </c>
      <c r="DA15" s="8"/>
      <c r="DC15">
        <f>IF(DG15="","",DO15)</f>
        <v>33</v>
      </c>
      <c r="DD15" s="980"/>
      <c r="DE15" s="989"/>
      <c r="DF15" s="543" t="s">
        <v>99</v>
      </c>
      <c r="DG15" s="347">
        <v>138</v>
      </c>
      <c r="DH15" s="347">
        <v>124</v>
      </c>
      <c r="DI15" s="347">
        <v>143</v>
      </c>
      <c r="DJ15" s="347">
        <v>135</v>
      </c>
      <c r="DK15" s="347">
        <v>136</v>
      </c>
      <c r="DL15" s="159">
        <f>SUM(DG15:DK15)</f>
        <v>676</v>
      </c>
      <c r="DM15" s="165">
        <f t="shared" si="4"/>
        <v>143</v>
      </c>
      <c r="DN15" s="317">
        <f>SUM(DL15*1000)+DM15+0.42</f>
        <v>676143.42</v>
      </c>
      <c r="DO15" s="328">
        <f>IF(DG15="","",RANK(DN15,DN6:DN65,0))</f>
        <v>33</v>
      </c>
      <c r="DP15" s="159"/>
      <c r="DQ15" s="250"/>
      <c r="DR15" s="250"/>
      <c r="DS15" s="986"/>
      <c r="DV15" s="155">
        <f t="shared" si="12"/>
        <v>10</v>
      </c>
      <c r="DW15" s="166" t="str">
        <f>IF(DU6&lt;10,"",VLOOKUP(10,DC6:DO65,4,FALSE))</f>
        <v>Křemenák Petr</v>
      </c>
      <c r="DX15" s="155">
        <f>IF(DU6&lt;10,"",VLOOKUP(10,DC6:DO65,10,FALSE))</f>
        <v>801</v>
      </c>
      <c r="DY15" s="8"/>
      <c r="EA15">
        <f>IF(EE15="","",EM15)</f>
        <v>18</v>
      </c>
      <c r="EB15" s="980"/>
      <c r="EC15" s="1003"/>
      <c r="ED15" s="160" t="s">
        <v>34</v>
      </c>
      <c r="EE15" s="621">
        <v>132</v>
      </c>
      <c r="EF15" s="622">
        <v>147</v>
      </c>
      <c r="EG15" s="622">
        <v>147</v>
      </c>
      <c r="EH15" s="622">
        <v>163</v>
      </c>
      <c r="EI15" s="622">
        <v>139</v>
      </c>
      <c r="EJ15" s="623">
        <f>SUM(EE15:EI15)</f>
        <v>728</v>
      </c>
      <c r="EK15" s="165">
        <f t="shared" si="5"/>
        <v>163</v>
      </c>
      <c r="EL15" s="317">
        <f>SUM(EJ15*1000)+EK15+0.42</f>
        <v>728163.42</v>
      </c>
      <c r="EM15" s="328">
        <f>IF(EE15="","",RANK(EL15,EL6:EL65,0))</f>
        <v>18</v>
      </c>
      <c r="EN15" s="159"/>
      <c r="EO15" s="250"/>
      <c r="EP15" s="250"/>
      <c r="EQ15" s="992"/>
      <c r="ET15" s="155">
        <f t="shared" si="13"/>
        <v>10</v>
      </c>
      <c r="EU15" s="166" t="str">
        <f>IF(ES6&lt;10,"",VLOOKUP(10,EA6:EM65,4,FALSE))</f>
        <v>Alba Vladimír</v>
      </c>
      <c r="EV15" s="155">
        <f>IF(ES6&lt;10,"",VLOOKUP(10,EA6:EM65,10,FALSE))</f>
        <v>814</v>
      </c>
      <c r="EW15" s="8"/>
      <c r="EX15" s="8"/>
      <c r="EY15">
        <f>IF(FC15="","",FK15)</f>
        <v>39</v>
      </c>
      <c r="EZ15" s="1059"/>
      <c r="FA15" s="1049"/>
      <c r="FB15" s="776" t="s">
        <v>254</v>
      </c>
      <c r="FC15" s="681">
        <v>104</v>
      </c>
      <c r="FD15" s="681">
        <v>117</v>
      </c>
      <c r="FE15" s="681">
        <v>155</v>
      </c>
      <c r="FF15" s="681">
        <v>178</v>
      </c>
      <c r="FG15" s="681">
        <v>78</v>
      </c>
      <c r="FH15" s="682">
        <f>SUM(FC15:FG15)</f>
        <v>632</v>
      </c>
      <c r="FI15" s="678">
        <f t="shared" si="6"/>
        <v>178</v>
      </c>
      <c r="FJ15" s="679">
        <f>SUM(FH15*1000)+FI15+0.42</f>
        <v>632178.42000000004</v>
      </c>
      <c r="FK15" s="683">
        <f>IF(FC15="","",RANK(FJ15,FJ6:FJ694,0))</f>
        <v>39</v>
      </c>
      <c r="FL15" s="682"/>
      <c r="FM15" s="250"/>
      <c r="FN15" s="250"/>
      <c r="FO15" s="1055"/>
      <c r="FP15" s="8"/>
      <c r="FQ15" s="804"/>
      <c r="FR15" s="811">
        <f t="shared" si="14"/>
        <v>10</v>
      </c>
      <c r="FS15" s="809" t="str">
        <f>IF(FQ6&lt;10,"",VLOOKUP(10,EY6:FL65,4,FALSE))</f>
        <v>Ondřich František</v>
      </c>
      <c r="FT15" s="808">
        <f>IF(FQ6&lt;10,"",VLOOKUP(10,EY6:FL65,10,FALSE))</f>
        <v>809</v>
      </c>
      <c r="FU15" s="8"/>
      <c r="FW15" t="str">
        <f>IF(GA15="","",GI15)</f>
        <v/>
      </c>
      <c r="FX15" s="980"/>
      <c r="FY15" s="983"/>
      <c r="FZ15" s="160"/>
      <c r="GA15" s="347"/>
      <c r="GB15" s="347"/>
      <c r="GC15" s="347"/>
      <c r="GD15" s="347"/>
      <c r="GE15" s="347"/>
      <c r="GF15" s="159">
        <f>SUM(GA15:GE15)</f>
        <v>0</v>
      </c>
      <c r="GG15" s="165">
        <f t="shared" si="7"/>
        <v>0</v>
      </c>
      <c r="GH15" s="317">
        <f>SUM(GF15*1000)+GG15+0.42</f>
        <v>0.42</v>
      </c>
      <c r="GI15" s="328" t="str">
        <f>IF(GA15="","",RANK(GH15,GH6:GH700,0))</f>
        <v/>
      </c>
      <c r="GJ15" s="159"/>
      <c r="GK15" s="250"/>
      <c r="GL15" s="250"/>
      <c r="GM15" s="986"/>
      <c r="GP15" s="155">
        <f t="shared" si="15"/>
        <v>10</v>
      </c>
      <c r="GQ15" s="166" t="str">
        <f>IF(GO6&lt;10,"",VLOOKUP(10,FW6:GI70,4,FALSE))</f>
        <v/>
      </c>
      <c r="GR15" s="155" t="str">
        <f>IF(GO6&lt;10,"",VLOOKUP(10,FW6:GI70,10,FALSE))</f>
        <v/>
      </c>
    </row>
    <row r="16" spans="1:200" ht="15" customHeight="1">
      <c r="A16" s="917"/>
      <c r="B16" s="1010"/>
      <c r="C16" s="1010"/>
      <c r="D16" s="1011"/>
      <c r="E16" s="917"/>
      <c r="F16" s="915"/>
      <c r="G16" s="915"/>
      <c r="H16" s="915"/>
      <c r="I16" s="915"/>
      <c r="J16" s="1019" t="s">
        <v>110</v>
      </c>
      <c r="K16" s="915"/>
      <c r="L16" s="915"/>
      <c r="M16" s="915"/>
      <c r="O16">
        <f>IF(S16="","",AA16)</f>
        <v>3</v>
      </c>
      <c r="P16" s="980"/>
      <c r="Q16" s="983"/>
      <c r="R16" s="167" t="s">
        <v>158</v>
      </c>
      <c r="S16" s="327">
        <v>192</v>
      </c>
      <c r="T16" s="319">
        <v>188</v>
      </c>
      <c r="U16" s="319">
        <v>205</v>
      </c>
      <c r="V16" s="319">
        <v>140</v>
      </c>
      <c r="W16" s="319">
        <v>156</v>
      </c>
      <c r="X16" s="329">
        <f>SUM(S16:W16)</f>
        <v>881</v>
      </c>
      <c r="Y16" s="165">
        <f t="shared" si="0"/>
        <v>205</v>
      </c>
      <c r="Z16" s="317">
        <f>SUM(X16*1000)+Y16+0.41</f>
        <v>881205.41</v>
      </c>
      <c r="AA16" s="328">
        <f>IF(S16="","",RANK(Z16,Z6:Z65,0))</f>
        <v>3</v>
      </c>
      <c r="AB16" s="159"/>
      <c r="AC16" s="986"/>
      <c r="AF16" s="155">
        <f t="shared" si="8"/>
        <v>11</v>
      </c>
      <c r="AG16" s="166" t="str">
        <f>IF(AE6&lt;11,"",VLOOKUP(11,O6:AA65,4,FALSE))</f>
        <v>KROČIL TOMÁŠ</v>
      </c>
      <c r="AH16" s="155">
        <f>IF(AE6&lt;11,"",VLOOKUP(11,O6:AA65,10,FALSE))</f>
        <v>786</v>
      </c>
      <c r="AI16" s="8"/>
      <c r="AK16">
        <f>IF(AO16="","",AW16)</f>
        <v>17</v>
      </c>
      <c r="AL16" s="980"/>
      <c r="AM16" s="983"/>
      <c r="AN16" s="238" t="s">
        <v>229</v>
      </c>
      <c r="AO16" s="327">
        <v>154</v>
      </c>
      <c r="AP16" s="319">
        <v>154</v>
      </c>
      <c r="AQ16" s="319">
        <v>135</v>
      </c>
      <c r="AR16" s="319">
        <v>149</v>
      </c>
      <c r="AS16" s="319">
        <v>159</v>
      </c>
      <c r="AT16" s="329">
        <f>SUM(AO16:AS16)</f>
        <v>751</v>
      </c>
      <c r="AU16" s="165">
        <f t="shared" si="1"/>
        <v>159</v>
      </c>
      <c r="AV16" s="317">
        <f>SUM(AT16*1000)+AU16+0.41</f>
        <v>751159.41</v>
      </c>
      <c r="AW16" s="328">
        <f>IF(AO16="","",RANK(AV16,AV6:AV65,0))</f>
        <v>17</v>
      </c>
      <c r="AX16" s="159"/>
      <c r="AY16" s="986"/>
      <c r="BB16" s="155">
        <f t="shared" si="9"/>
        <v>11</v>
      </c>
      <c r="BC16" s="166" t="str">
        <f>IF(BA6&lt;11,"",VLOOKUP(11,AK6:AW65,4,FALSE))</f>
        <v>ONDŘICH FRANTIŠEK</v>
      </c>
      <c r="BD16" s="155">
        <f>IF(BA6&lt;11,"",VLOOKUP(11,AK6:AW65,10,FALSE))</f>
        <v>815</v>
      </c>
      <c r="BE16" s="8"/>
      <c r="BG16">
        <f>IF(BK16="","",BS16)</f>
        <v>22</v>
      </c>
      <c r="BH16" s="980"/>
      <c r="BI16" s="983"/>
      <c r="BJ16" s="258" t="s">
        <v>190</v>
      </c>
      <c r="BK16" s="344">
        <v>158</v>
      </c>
      <c r="BL16" s="345">
        <v>153</v>
      </c>
      <c r="BM16" s="345">
        <v>113</v>
      </c>
      <c r="BN16" s="345">
        <v>133</v>
      </c>
      <c r="BO16" s="345">
        <v>169</v>
      </c>
      <c r="BP16" s="329">
        <f>SUM(BK16:BO16)</f>
        <v>726</v>
      </c>
      <c r="BQ16" s="165">
        <f t="shared" si="2"/>
        <v>169</v>
      </c>
      <c r="BR16" s="317">
        <f>SUM(BP16*1000)+BQ16+0.41</f>
        <v>726169.41</v>
      </c>
      <c r="BS16" s="328">
        <f>IF(BK16="","",RANK(BR16,BR6:BR65,0))</f>
        <v>22</v>
      </c>
      <c r="BT16" s="159"/>
      <c r="BU16" s="250"/>
      <c r="BV16" s="250"/>
      <c r="BW16" s="986"/>
      <c r="BZ16" s="155">
        <f t="shared" si="10"/>
        <v>11</v>
      </c>
      <c r="CA16" s="166" t="str">
        <f>IF(BY6&lt;11,"",VLOOKUP(11,BG6:BS65,4,FALSE))</f>
        <v>SKRUŽNÁ PAVLA</v>
      </c>
      <c r="CB16" s="155">
        <f>IF(BY6&lt;11,"",VLOOKUP(11,BG6:BS65,10,FALSE))</f>
        <v>811</v>
      </c>
      <c r="CC16" s="8"/>
      <c r="CE16">
        <f>IF(CI16="","",CQ16)</f>
        <v>49</v>
      </c>
      <c r="CF16" s="980"/>
      <c r="CG16" s="983"/>
      <c r="CH16" s="258" t="s">
        <v>251</v>
      </c>
      <c r="CI16" s="327">
        <v>82</v>
      </c>
      <c r="CJ16" s="327">
        <v>117</v>
      </c>
      <c r="CK16" s="327">
        <v>66</v>
      </c>
      <c r="CL16" s="327">
        <v>129</v>
      </c>
      <c r="CM16" s="327">
        <v>96</v>
      </c>
      <c r="CN16" s="329">
        <f>SUM(CI16:CM16)</f>
        <v>490</v>
      </c>
      <c r="CO16" s="165">
        <f t="shared" si="3"/>
        <v>129</v>
      </c>
      <c r="CP16" s="317">
        <f>SUM(CN16*1000)+CO16+0.41</f>
        <v>490129.41</v>
      </c>
      <c r="CQ16" s="328">
        <f>IF(CI16="","",RANK(CP16,CP6:CP65,0))</f>
        <v>49</v>
      </c>
      <c r="CR16" s="159"/>
      <c r="CS16" s="250"/>
      <c r="CT16" s="250"/>
      <c r="CU16" s="986"/>
      <c r="CX16" s="155">
        <f t="shared" si="11"/>
        <v>11</v>
      </c>
      <c r="CY16" s="166" t="str">
        <f>IF(CW6&lt;11,"",VLOOKUP(11,CE6:CQ65,4,FALSE))</f>
        <v>ŠTĚPÁN RADEK</v>
      </c>
      <c r="CZ16" s="155">
        <f>IF(CW6&lt;11,"",VLOOKUP(11,CE6:CQ65,10,FALSE))</f>
        <v>779</v>
      </c>
      <c r="DA16" s="8"/>
      <c r="DC16">
        <f>IF(DG16="","",DO16)</f>
        <v>24</v>
      </c>
      <c r="DD16" s="980"/>
      <c r="DE16" s="989"/>
      <c r="DF16" s="543" t="s">
        <v>81</v>
      </c>
      <c r="DG16" s="347">
        <v>150</v>
      </c>
      <c r="DH16" s="347">
        <v>128</v>
      </c>
      <c r="DI16" s="347">
        <v>135</v>
      </c>
      <c r="DJ16" s="347">
        <v>161</v>
      </c>
      <c r="DK16" s="347">
        <v>143</v>
      </c>
      <c r="DL16" s="329">
        <f>SUM(DG16:DK16)</f>
        <v>717</v>
      </c>
      <c r="DM16" s="165">
        <f t="shared" si="4"/>
        <v>161</v>
      </c>
      <c r="DN16" s="317">
        <f>SUM(DL16*1000)+DM16+0.41</f>
        <v>717161.41</v>
      </c>
      <c r="DO16" s="328">
        <f>IF(DG16="","",RANK(DN16,DN6:DN65,0))</f>
        <v>24</v>
      </c>
      <c r="DP16" s="159"/>
      <c r="DQ16" s="250"/>
      <c r="DR16" s="250"/>
      <c r="DS16" s="986"/>
      <c r="DV16" s="155">
        <f t="shared" si="12"/>
        <v>11</v>
      </c>
      <c r="DW16" s="166" t="str">
        <f>IF(DU6&lt;11,"",VLOOKUP(11,DC6:DO65,4,FALSE))</f>
        <v>Skružná Pavla</v>
      </c>
      <c r="DX16" s="155">
        <f>IF(DU6&lt;11,"",VLOOKUP(11,DC6:DO65,10,FALSE))</f>
        <v>795</v>
      </c>
      <c r="DY16" s="8"/>
      <c r="EA16">
        <f>IF(EE16="","",EM16)</f>
        <v>8</v>
      </c>
      <c r="EB16" s="980"/>
      <c r="EC16" s="1003"/>
      <c r="ED16" s="160" t="s">
        <v>3</v>
      </c>
      <c r="EE16" s="621">
        <v>180</v>
      </c>
      <c r="EF16" s="622">
        <v>146</v>
      </c>
      <c r="EG16" s="622">
        <v>177</v>
      </c>
      <c r="EH16" s="622">
        <v>181</v>
      </c>
      <c r="EI16" s="622">
        <v>150</v>
      </c>
      <c r="EJ16" s="624">
        <f>SUM(EE16:EI16)</f>
        <v>834</v>
      </c>
      <c r="EK16" s="165">
        <f t="shared" si="5"/>
        <v>181</v>
      </c>
      <c r="EL16" s="317">
        <f>SUM(EJ16*1000)+EK16+0.41</f>
        <v>834181.41</v>
      </c>
      <c r="EM16" s="328">
        <f>IF(EE16="","",RANK(EL16,EL6:EL65,0))</f>
        <v>8</v>
      </c>
      <c r="EN16" s="159"/>
      <c r="EO16" s="250"/>
      <c r="EP16" s="250"/>
      <c r="EQ16" s="992"/>
      <c r="ET16" s="155">
        <f t="shared" si="13"/>
        <v>11</v>
      </c>
      <c r="EU16" s="166" t="str">
        <f>IF(ES6&lt;11,"",VLOOKUP(11,EA6:EM65,4,FALSE))</f>
        <v>Novotný Lukáš</v>
      </c>
      <c r="EV16" s="155">
        <f>IF(ES6&lt;11,"",VLOOKUP(11,EA6:EM65,10,FALSE))</f>
        <v>814</v>
      </c>
      <c r="EW16" s="8"/>
      <c r="EX16" s="8"/>
      <c r="EY16">
        <f>IF(FC16="","",FK16)</f>
        <v>46</v>
      </c>
      <c r="EZ16" s="1059"/>
      <c r="FA16" s="1049"/>
      <c r="FB16" s="777" t="s">
        <v>296</v>
      </c>
      <c r="FC16" s="684">
        <v>113</v>
      </c>
      <c r="FD16" s="684">
        <v>109</v>
      </c>
      <c r="FE16" s="684">
        <v>163</v>
      </c>
      <c r="FF16" s="684">
        <v>98</v>
      </c>
      <c r="FG16" s="684">
        <v>95</v>
      </c>
      <c r="FH16" s="685">
        <f>SUM(FC16:FG16)</f>
        <v>578</v>
      </c>
      <c r="FI16" s="686">
        <f t="shared" si="6"/>
        <v>163</v>
      </c>
      <c r="FJ16" s="687">
        <f>SUM(FH16*1000)+FI16+0.41</f>
        <v>578163.41</v>
      </c>
      <c r="FK16" s="688">
        <f>IF(FC16="","",RANK(FJ16,FJ6:FJ65,0))</f>
        <v>46</v>
      </c>
      <c r="FL16" s="685"/>
      <c r="FM16" s="250"/>
      <c r="FN16" s="250"/>
      <c r="FO16" s="1055"/>
      <c r="FP16" s="8"/>
      <c r="FQ16" s="804"/>
      <c r="FR16" s="811">
        <f t="shared" si="14"/>
        <v>11</v>
      </c>
      <c r="FS16" s="809" t="str">
        <f>IF(FQ6&lt;11,"",VLOOKUP(11,EY6:FL65,4,FALSE))</f>
        <v>Hübner Jiří</v>
      </c>
      <c r="FT16" s="808">
        <f>IF(FQ6&lt;11,"",VLOOKUP(11,EY6:FL65,10,FALSE))</f>
        <v>803</v>
      </c>
      <c r="FU16" s="8"/>
      <c r="FW16" t="str">
        <f>IF(GA16="","",GI16)</f>
        <v/>
      </c>
      <c r="FX16" s="980"/>
      <c r="FY16" s="983"/>
      <c r="FZ16" s="160"/>
      <c r="GA16" s="347"/>
      <c r="GB16" s="347"/>
      <c r="GC16" s="347"/>
      <c r="GD16" s="347"/>
      <c r="GE16" s="347"/>
      <c r="GF16" s="329">
        <f>SUM(GA16:GE16)</f>
        <v>0</v>
      </c>
      <c r="GG16" s="165">
        <f t="shared" si="7"/>
        <v>0</v>
      </c>
      <c r="GH16" s="317">
        <f>SUM(GF16*1000)+GG16+0.41</f>
        <v>0.41</v>
      </c>
      <c r="GI16" s="328" t="str">
        <f>IF(GA16="","",RANK(GH16,GH6:GH70,0))</f>
        <v/>
      </c>
      <c r="GJ16" s="159"/>
      <c r="GK16" s="250"/>
      <c r="GL16" s="250"/>
      <c r="GM16" s="986"/>
      <c r="GP16" s="155">
        <f t="shared" si="15"/>
        <v>11</v>
      </c>
      <c r="GQ16" s="166" t="str">
        <f>IF(GO6&lt;11,"",VLOOKUP(11,FW6:GI70,4,FALSE))</f>
        <v/>
      </c>
      <c r="GR16" s="155" t="str">
        <f>IF(GO6&lt;11,"",VLOOKUP(11,FW6:GI70,10,FALSE))</f>
        <v/>
      </c>
    </row>
    <row r="17" spans="1:200" ht="15" customHeight="1">
      <c r="A17" s="917"/>
      <c r="B17" s="1012" t="s">
        <v>159</v>
      </c>
      <c r="C17" s="1012"/>
      <c r="D17" s="1017" t="s">
        <v>270</v>
      </c>
      <c r="E17" s="917"/>
      <c r="F17" s="915"/>
      <c r="G17" s="915"/>
      <c r="H17" s="915"/>
      <c r="I17" s="915"/>
      <c r="J17" s="1020"/>
      <c r="K17" s="915"/>
      <c r="L17" s="915"/>
      <c r="M17" s="915"/>
      <c r="P17" s="981"/>
      <c r="Q17" s="984"/>
      <c r="R17" s="162"/>
      <c r="S17" s="321">
        <f>SUM(S12:S16)</f>
        <v>796</v>
      </c>
      <c r="T17" s="321">
        <f>SUM(T12:T16)</f>
        <v>736</v>
      </c>
      <c r="U17" s="321">
        <f>SUM(U12:U16)</f>
        <v>827</v>
      </c>
      <c r="V17" s="321">
        <f>SUM(V12:V16)</f>
        <v>743</v>
      </c>
      <c r="W17" s="321">
        <f>SUM(W12:W16)</f>
        <v>750</v>
      </c>
      <c r="X17" s="330"/>
      <c r="Y17" s="330"/>
      <c r="Z17" s="330"/>
      <c r="AA17" s="322"/>
      <c r="AB17" s="323">
        <f>SUM(S17:W17)</f>
        <v>3852</v>
      </c>
      <c r="AC17" s="987"/>
      <c r="AF17" s="155">
        <f t="shared" si="8"/>
        <v>12</v>
      </c>
      <c r="AG17" s="166" t="str">
        <f>IF(AE6&lt;12,"",VLOOKUP(12,O6:AA65,4,FALSE))</f>
        <v>ALBA VLADIMÍR</v>
      </c>
      <c r="AH17" s="155">
        <f>IF(AE6&lt;12,"",VLOOKUP(12,O6:AA65,10,FALSE))</f>
        <v>777</v>
      </c>
      <c r="AI17" s="8"/>
      <c r="AL17" s="981"/>
      <c r="AM17" s="984"/>
      <c r="AN17" s="168"/>
      <c r="AO17" s="339">
        <f>SUM(AO12:AO16)</f>
        <v>654</v>
      </c>
      <c r="AP17" s="339">
        <f>SUM(AP12:AP16)</f>
        <v>655</v>
      </c>
      <c r="AQ17" s="339">
        <f>SUM(AQ12:AQ16)</f>
        <v>613</v>
      </c>
      <c r="AR17" s="339">
        <f>SUM(AR12:AR16)</f>
        <v>685</v>
      </c>
      <c r="AS17" s="339">
        <f>SUM(AS12:AS16)</f>
        <v>602</v>
      </c>
      <c r="AT17" s="330"/>
      <c r="AU17" s="330"/>
      <c r="AV17" s="330"/>
      <c r="AW17" s="322"/>
      <c r="AX17" s="323">
        <f>SUM(AO17:AS17)</f>
        <v>3209</v>
      </c>
      <c r="AY17" s="987"/>
      <c r="BB17" s="155">
        <f t="shared" si="9"/>
        <v>12</v>
      </c>
      <c r="BC17" s="166" t="str">
        <f>IF(BA6&lt;12,"",VLOOKUP(12,AK6:AW65,4,FALSE))</f>
        <v>KROČIL TOMÁŠ</v>
      </c>
      <c r="BD17" s="155">
        <f>IF(BA6&lt;12,"",VLOOKUP(12,AK6:AW65,10,FALSE))</f>
        <v>806</v>
      </c>
      <c r="BE17" s="8"/>
      <c r="BH17" s="981"/>
      <c r="BI17" s="984"/>
      <c r="BJ17" s="168"/>
      <c r="BK17" s="339">
        <f>SUM(BK12:BK16)</f>
        <v>692</v>
      </c>
      <c r="BL17" s="339">
        <f>SUM(BL12:BL16)</f>
        <v>675</v>
      </c>
      <c r="BM17" s="339">
        <f>SUM(BM12:BM16)</f>
        <v>632</v>
      </c>
      <c r="BN17" s="339">
        <f>SUM(BN12:BN16)</f>
        <v>678</v>
      </c>
      <c r="BO17" s="339">
        <f>SUM(BO12:BO16)</f>
        <v>614</v>
      </c>
      <c r="BP17" s="330"/>
      <c r="BQ17" s="330"/>
      <c r="BR17" s="330"/>
      <c r="BS17" s="322"/>
      <c r="BT17" s="323">
        <f>SUM(BK17:BO17)</f>
        <v>3291</v>
      </c>
      <c r="BU17" s="163">
        <f>MAX(BK17:BO17)</f>
        <v>692</v>
      </c>
      <c r="BV17" s="163">
        <f>IF(BK12="","",SUM(BT17*10000)+BU17)</f>
        <v>32910692</v>
      </c>
      <c r="BW17" s="987"/>
      <c r="BZ17" s="155">
        <f t="shared" si="10"/>
        <v>12</v>
      </c>
      <c r="CA17" s="166" t="str">
        <f>IF(BY6&lt;12,"",VLOOKUP(12,BG6:BS65,4,FALSE))</f>
        <v>NOVOTNÝ LUKÁŠ</v>
      </c>
      <c r="CB17" s="155">
        <f>IF(BY6&lt;12,"",VLOOKUP(12,BG6:BS65,10,FALSE))</f>
        <v>793</v>
      </c>
      <c r="CC17" s="8"/>
      <c r="CF17" s="981"/>
      <c r="CG17" s="984"/>
      <c r="CH17" s="168"/>
      <c r="CI17" s="339">
        <f>SUM(CI12:CI16)</f>
        <v>523</v>
      </c>
      <c r="CJ17" s="339">
        <f>SUM(CJ12:CJ16)</f>
        <v>544</v>
      </c>
      <c r="CK17" s="339">
        <f>SUM(CK12:CK16)</f>
        <v>560</v>
      </c>
      <c r="CL17" s="339">
        <f>SUM(CL12:CL16)</f>
        <v>620</v>
      </c>
      <c r="CM17" s="339">
        <f>SUM(CM12:CM16)</f>
        <v>550</v>
      </c>
      <c r="CN17" s="330"/>
      <c r="CO17" s="330"/>
      <c r="CP17" s="330"/>
      <c r="CQ17" s="322"/>
      <c r="CR17" s="323">
        <f>SUM(CI17:CM17)</f>
        <v>2797</v>
      </c>
      <c r="CS17" s="163">
        <f>MAX(CI17:CM17)</f>
        <v>620</v>
      </c>
      <c r="CT17" s="163">
        <f>IF(CI12="","",SUM(CR17*1000)+CS17)</f>
        <v>2797620</v>
      </c>
      <c r="CU17" s="987"/>
      <c r="CX17" s="155">
        <f t="shared" si="11"/>
        <v>12</v>
      </c>
      <c r="CY17" s="166" t="str">
        <f>IF(CW6&lt;12,"",VLOOKUP(12,CE6:CQ65,4,FALSE))</f>
        <v>MOTTL PAVEL</v>
      </c>
      <c r="CZ17" s="155">
        <f>IF(CW6&lt;12,"",VLOOKUP(12,CE6:CQ65,10,FALSE))</f>
        <v>773</v>
      </c>
      <c r="DA17" s="8"/>
      <c r="DD17" s="981"/>
      <c r="DE17" s="990"/>
      <c r="DF17" s="168"/>
      <c r="DG17" s="339">
        <f>SUM(DG12:DG16)</f>
        <v>662</v>
      </c>
      <c r="DH17" s="339">
        <f>SUM(DH12:DH16)</f>
        <v>613</v>
      </c>
      <c r="DI17" s="339">
        <f>SUM(DI12:DI16)</f>
        <v>635</v>
      </c>
      <c r="DJ17" s="339">
        <f>SUM(DJ12:DJ16)</f>
        <v>687</v>
      </c>
      <c r="DK17" s="339">
        <f>SUM(DK12:DK16)</f>
        <v>740</v>
      </c>
      <c r="DL17" s="330"/>
      <c r="DM17" s="330"/>
      <c r="DN17" s="330"/>
      <c r="DO17" s="322"/>
      <c r="DP17" s="323">
        <f>SUM(DG17:DK17)</f>
        <v>3337</v>
      </c>
      <c r="DQ17" s="163">
        <f>MAX(DG17:DK17)</f>
        <v>740</v>
      </c>
      <c r="DR17" s="163">
        <f>IF(DG12="","",SUM(DP17*1000)+DQ17)</f>
        <v>3337740</v>
      </c>
      <c r="DS17" s="987"/>
      <c r="DV17" s="155">
        <f t="shared" si="12"/>
        <v>12</v>
      </c>
      <c r="DW17" s="166" t="str">
        <f>IF(DU6&lt;12,"",VLOOKUP(12,DC6:DO65,4,FALSE))</f>
        <v>Lazur Vladimír</v>
      </c>
      <c r="DX17" s="155">
        <f>IF(DU6&lt;12,"",VLOOKUP(12,DC6:DO65,10,FALSE))</f>
        <v>794</v>
      </c>
      <c r="DY17" s="8"/>
      <c r="EB17" s="981"/>
      <c r="EC17" s="1004"/>
      <c r="ED17" s="168"/>
      <c r="EE17" s="321">
        <f>SUM(EE12:EE16)</f>
        <v>828</v>
      </c>
      <c r="EF17" s="321">
        <f>SUM(EF12:EF16)</f>
        <v>775</v>
      </c>
      <c r="EG17" s="321">
        <f>SUM(EG12:EG16)</f>
        <v>768</v>
      </c>
      <c r="EH17" s="321">
        <f>SUM(EH12:EH16)</f>
        <v>893</v>
      </c>
      <c r="EI17" s="321">
        <f>SUM(EI12:EI16)</f>
        <v>779</v>
      </c>
      <c r="EJ17" s="330"/>
      <c r="EK17" s="330"/>
      <c r="EL17" s="330"/>
      <c r="EM17" s="322"/>
      <c r="EN17" s="323">
        <f>SUM(EE17:EI17)</f>
        <v>4043</v>
      </c>
      <c r="EO17" s="163">
        <f>MAX(EE17:EI17)</f>
        <v>893</v>
      </c>
      <c r="EP17" s="163">
        <f>IF(EE12="","",SUM(EN17*1000)+EO17)</f>
        <v>4043893</v>
      </c>
      <c r="EQ17" s="993"/>
      <c r="ET17" s="155">
        <f t="shared" si="13"/>
        <v>12</v>
      </c>
      <c r="EU17" s="166" t="str">
        <f>IF(ES6&lt;12,"",VLOOKUP(12,EA6:EM65,4,FALSE))</f>
        <v>Froněk Martin</v>
      </c>
      <c r="EV17" s="155">
        <f>IF(ES6&lt;12,"",VLOOKUP(12,EA6:EM65,10,FALSE))</f>
        <v>778</v>
      </c>
      <c r="EW17" s="8"/>
      <c r="EX17" s="8"/>
      <c r="EZ17" s="1060"/>
      <c r="FA17" s="1050"/>
      <c r="FB17" s="738"/>
      <c r="FC17" s="771">
        <f>SUM(FC12:FC16)</f>
        <v>596</v>
      </c>
      <c r="FD17" s="771">
        <f>SUM(FD12:FD16)</f>
        <v>594</v>
      </c>
      <c r="FE17" s="771">
        <f>SUM(FE12:FE16)</f>
        <v>708</v>
      </c>
      <c r="FF17" s="771">
        <f>SUM(FF12:FF16)</f>
        <v>649</v>
      </c>
      <c r="FG17" s="771">
        <f>SUM(FG12:FG16)</f>
        <v>546</v>
      </c>
      <c r="FH17" s="771"/>
      <c r="FI17" s="772"/>
      <c r="FJ17" s="772"/>
      <c r="FK17" s="773"/>
      <c r="FL17" s="774">
        <f>SUM(FC17:FG17)</f>
        <v>3093</v>
      </c>
      <c r="FM17" s="743">
        <f>MAX(FC17:FG17)</f>
        <v>708</v>
      </c>
      <c r="FN17" s="743">
        <f>IF(FC12="","",SUM(FL17*1000)+FM17)</f>
        <v>3093708</v>
      </c>
      <c r="FO17" s="1055"/>
      <c r="FP17" s="8"/>
      <c r="FQ17" s="804"/>
      <c r="FR17" s="811">
        <f t="shared" si="14"/>
        <v>12</v>
      </c>
      <c r="FS17" s="809" t="str">
        <f>IF(FQ6&lt;12,"",VLOOKUP(12,EY6:FL65,4,FALSE))</f>
        <v>Holkup Jan</v>
      </c>
      <c r="FT17" s="808">
        <f>IF(FQ6&lt;12,"",VLOOKUP(12,EY6:FL65,10,FALSE))</f>
        <v>802</v>
      </c>
      <c r="FU17" s="8"/>
      <c r="FX17" s="981"/>
      <c r="FY17" s="984"/>
      <c r="FZ17" s="168"/>
      <c r="GA17" s="339">
        <f>SUM(GA12:GA16)</f>
        <v>2</v>
      </c>
      <c r="GB17" s="339">
        <f>SUM(GB12:GB16)</f>
        <v>1</v>
      </c>
      <c r="GC17" s="339">
        <f>SUM(GC12:GC16)</f>
        <v>0</v>
      </c>
      <c r="GD17" s="339">
        <f>SUM(GD12:GD16)</f>
        <v>0</v>
      </c>
      <c r="GE17" s="339">
        <f>SUM(GE12:GE16)</f>
        <v>0</v>
      </c>
      <c r="GF17" s="330"/>
      <c r="GG17" s="330"/>
      <c r="GH17" s="330"/>
      <c r="GI17" s="322"/>
      <c r="GJ17" s="323">
        <f>SUM(GA17:GE17)</f>
        <v>3</v>
      </c>
      <c r="GK17" s="163">
        <f>MAX(GA17:GE17)</f>
        <v>2</v>
      </c>
      <c r="GL17" s="163">
        <f>IF(GA12="","",SUM(GJ17*1000)+GK17)</f>
        <v>3002</v>
      </c>
      <c r="GM17" s="987"/>
      <c r="GP17" s="155">
        <f t="shared" si="15"/>
        <v>12</v>
      </c>
      <c r="GQ17" s="166" t="str">
        <f>IF(GO6&lt;12,"",VLOOKUP(12,FW6:GI70,4,FALSE))</f>
        <v/>
      </c>
      <c r="GR17" s="155" t="str">
        <f>IF(GO6&lt;12,"",VLOOKUP(12,FW6:GI70,10,FALSE))</f>
        <v/>
      </c>
    </row>
    <row r="18" spans="1:200" ht="15" customHeight="1">
      <c r="A18" s="917"/>
      <c r="B18" s="1012"/>
      <c r="C18" s="1012"/>
      <c r="D18" s="1017"/>
      <c r="E18" s="917"/>
      <c r="F18" s="915"/>
      <c r="G18" s="915"/>
      <c r="H18" s="915"/>
      <c r="I18" s="915"/>
      <c r="J18" s="915"/>
      <c r="K18" s="915"/>
      <c r="L18" s="915"/>
      <c r="M18" s="915"/>
      <c r="O18">
        <f>IF(S18="","",AA18)</f>
        <v>17</v>
      </c>
      <c r="P18" s="979">
        <v>3</v>
      </c>
      <c r="Q18" s="982" t="s">
        <v>160</v>
      </c>
      <c r="R18" s="164" t="s">
        <v>161</v>
      </c>
      <c r="S18" s="324">
        <v>113</v>
      </c>
      <c r="T18" s="325">
        <v>170</v>
      </c>
      <c r="U18" s="325">
        <v>137</v>
      </c>
      <c r="V18" s="325">
        <v>158</v>
      </c>
      <c r="W18" s="325">
        <v>159</v>
      </c>
      <c r="X18" s="165">
        <f>SUM(S18:W18)</f>
        <v>737</v>
      </c>
      <c r="Y18" s="165">
        <f>MAX(S18:W18)</f>
        <v>170</v>
      </c>
      <c r="Z18" s="317">
        <f>SUM(X18*1000)+Y18+0.4</f>
        <v>737170.4</v>
      </c>
      <c r="AA18" s="318">
        <f>IF(S18="","",RANK(Z18,Z6:Z65,0))</f>
        <v>17</v>
      </c>
      <c r="AB18" s="165"/>
      <c r="AC18" s="985">
        <f>RANK(AB23,AB11:AB65,0)</f>
        <v>1</v>
      </c>
      <c r="AF18" s="155">
        <f t="shared" si="8"/>
        <v>13</v>
      </c>
      <c r="AG18" s="166" t="str">
        <f>IF(AE6&lt;13,"",VLOOKUP(13,O6:AA65,4,FALSE))</f>
        <v>HOLKUP JAN</v>
      </c>
      <c r="AH18" s="155">
        <f>IF(AE6&lt;13,"",VLOOKUP(13,O6:AA65,10,FALSE))</f>
        <v>755</v>
      </c>
      <c r="AI18" s="8"/>
      <c r="AK18">
        <f>IF(AO18="","",AW18)</f>
        <v>34</v>
      </c>
      <c r="AL18" s="979">
        <v>3</v>
      </c>
      <c r="AM18" s="982" t="s">
        <v>138</v>
      </c>
      <c r="AN18" s="236" t="s">
        <v>146</v>
      </c>
      <c r="AO18" s="338">
        <v>121</v>
      </c>
      <c r="AP18" s="316">
        <v>129</v>
      </c>
      <c r="AQ18" s="316">
        <v>114</v>
      </c>
      <c r="AR18" s="316">
        <v>123</v>
      </c>
      <c r="AS18" s="316">
        <v>149</v>
      </c>
      <c r="AT18" s="165">
        <f>SUM(AO18:AS18)</f>
        <v>636</v>
      </c>
      <c r="AU18" s="165">
        <f>MAX(AO18:AS18)</f>
        <v>149</v>
      </c>
      <c r="AV18" s="317">
        <f>SUM(AT18*1000)+AU18+0.4</f>
        <v>636149.4</v>
      </c>
      <c r="AW18" s="318">
        <f>IF(AO18="","",RANK(AV18,AV6:AV65,0))</f>
        <v>34</v>
      </c>
      <c r="AX18" s="165"/>
      <c r="AY18" s="985">
        <f>RANK(AX23,AX11:AX65,0)</f>
        <v>9</v>
      </c>
      <c r="BB18" s="155">
        <f t="shared" si="9"/>
        <v>13</v>
      </c>
      <c r="BC18" s="166" t="str">
        <f>IF(BA6&lt;13,"",VLOOKUP(13,AK6:AW65,4,FALSE))</f>
        <v>KALFIŘT PETR</v>
      </c>
      <c r="BD18" s="155">
        <f>IF(BA6&lt;13,"",VLOOKUP(13,AK6:AW65,10,FALSE))</f>
        <v>796</v>
      </c>
      <c r="BE18" s="8"/>
      <c r="BG18">
        <f>IF(BK18="","",BS18)</f>
        <v>7</v>
      </c>
      <c r="BH18" s="979">
        <v>3</v>
      </c>
      <c r="BI18" s="982" t="s">
        <v>197</v>
      </c>
      <c r="BJ18" s="259" t="s">
        <v>198</v>
      </c>
      <c r="BK18" s="342">
        <v>157</v>
      </c>
      <c r="BL18" s="343">
        <v>169</v>
      </c>
      <c r="BM18" s="343">
        <v>179</v>
      </c>
      <c r="BN18" s="343">
        <v>156</v>
      </c>
      <c r="BO18" s="343">
        <v>170</v>
      </c>
      <c r="BP18" s="165">
        <f>SUM(BK18:BO18)</f>
        <v>831</v>
      </c>
      <c r="BQ18" s="165">
        <f>MAX(BK18:BO18)</f>
        <v>179</v>
      </c>
      <c r="BR18" s="317">
        <f>SUM(BP18*1000)+BQ18+0.4</f>
        <v>831179.4</v>
      </c>
      <c r="BS18" s="318">
        <f>IF(BK18="","",RANK(BR18,BR6:BR65,0))</f>
        <v>7</v>
      </c>
      <c r="BT18" s="165"/>
      <c r="BU18" s="249"/>
      <c r="BV18" s="249"/>
      <c r="BW18" s="985">
        <f>IF(BK18="","",RANK(BV23,BV11:BV65,0))</f>
        <v>3</v>
      </c>
      <c r="BZ18" s="155">
        <f t="shared" si="10"/>
        <v>13</v>
      </c>
      <c r="CA18" s="166" t="str">
        <f>IF(BY6&lt;13,"",VLOOKUP(13,BG6:BS65,4,FALSE))</f>
        <v>ALBA VLADIMÍR</v>
      </c>
      <c r="CB18" s="155">
        <f>IF(BY6&lt;13,"",VLOOKUP(13,BG6:BS65,10,FALSE))</f>
        <v>770</v>
      </c>
      <c r="CC18" s="8"/>
      <c r="CE18">
        <f>IF(CI18="","",CQ18)</f>
        <v>3</v>
      </c>
      <c r="CF18" s="979">
        <v>3</v>
      </c>
      <c r="CG18" s="982" t="s">
        <v>185</v>
      </c>
      <c r="CH18" s="273" t="s">
        <v>186</v>
      </c>
      <c r="CI18" s="324">
        <v>190</v>
      </c>
      <c r="CJ18" s="324">
        <v>180</v>
      </c>
      <c r="CK18" s="324">
        <v>169</v>
      </c>
      <c r="CL18" s="324">
        <v>178</v>
      </c>
      <c r="CM18" s="324">
        <v>166</v>
      </c>
      <c r="CN18" s="165">
        <f>SUM(CI18:CM18)</f>
        <v>883</v>
      </c>
      <c r="CO18" s="165">
        <f>MAX(CI18:CM18)</f>
        <v>190</v>
      </c>
      <c r="CP18" s="317">
        <f>SUM(CN18*1000)+CO18+0.4</f>
        <v>883190.4</v>
      </c>
      <c r="CQ18" s="318">
        <f>IF(CI18="","",RANK(CP18,CP6:CP65,0))</f>
        <v>3</v>
      </c>
      <c r="CR18" s="165"/>
      <c r="CS18" s="249"/>
      <c r="CT18" s="249"/>
      <c r="CU18" s="985">
        <f>IF(CI18="","",RANK(CT23,CT11:CT65,0))</f>
        <v>2</v>
      </c>
      <c r="CX18" s="155">
        <f t="shared" si="11"/>
        <v>13</v>
      </c>
      <c r="CY18" s="166" t="str">
        <f>IF(CW6&lt;13,"",VLOOKUP(13,CE6:CQ65,4,FALSE))</f>
        <v>SEHNAL IVAN</v>
      </c>
      <c r="CZ18" s="155">
        <f>IF(CW6&lt;13,"",VLOOKUP(13,CE6:CQ65,10,FALSE))</f>
        <v>761</v>
      </c>
      <c r="DA18" s="8"/>
      <c r="DC18">
        <f>IF(DG18="","",DO18)</f>
        <v>23</v>
      </c>
      <c r="DD18" s="979">
        <v>3</v>
      </c>
      <c r="DE18" s="988" t="s">
        <v>173</v>
      </c>
      <c r="DF18" s="535" t="s">
        <v>97</v>
      </c>
      <c r="DG18" s="346">
        <v>122</v>
      </c>
      <c r="DH18" s="346">
        <v>136</v>
      </c>
      <c r="DI18" s="346">
        <v>151</v>
      </c>
      <c r="DJ18" s="346">
        <v>130</v>
      </c>
      <c r="DK18" s="346">
        <v>178</v>
      </c>
      <c r="DL18" s="165">
        <f>SUM(DG18:DK18)</f>
        <v>717</v>
      </c>
      <c r="DM18" s="165">
        <f>MAX(DG18:DK18)</f>
        <v>178</v>
      </c>
      <c r="DN18" s="317">
        <f>SUM(DL18*1000)+DM18+0.4</f>
        <v>717178.4</v>
      </c>
      <c r="DO18" s="318">
        <f>IF(DG18="","",RANK(DN18,DN6:DN65,0))</f>
        <v>23</v>
      </c>
      <c r="DP18" s="165"/>
      <c r="DQ18" s="249"/>
      <c r="DR18" s="249"/>
      <c r="DS18" s="985">
        <f>IF(DG18="","",RANK(DR23,DR11:DR65,0))</f>
        <v>3</v>
      </c>
      <c r="DV18" s="155">
        <f t="shared" si="12"/>
        <v>13</v>
      </c>
      <c r="DW18" s="166" t="str">
        <f>IF(DU6&lt;13,"",VLOOKUP(13,DC6:DO65,4,FALSE))</f>
        <v>Jelínek Jan</v>
      </c>
      <c r="DX18" s="155">
        <f>IF(DU6&lt;13,"",VLOOKUP(13,DC6:DO65,10,FALSE))</f>
        <v>782</v>
      </c>
      <c r="DY18" s="8"/>
      <c r="EA18">
        <f>IF(EE18="","",EM18)</f>
        <v>27</v>
      </c>
      <c r="EB18" s="979">
        <v>3</v>
      </c>
      <c r="EC18" s="1005" t="s">
        <v>160</v>
      </c>
      <c r="ED18" s="625" t="s">
        <v>36</v>
      </c>
      <c r="EE18" s="634">
        <v>135</v>
      </c>
      <c r="EF18" s="635">
        <v>128</v>
      </c>
      <c r="EG18" s="635">
        <v>111</v>
      </c>
      <c r="EH18" s="635">
        <v>125</v>
      </c>
      <c r="EI18" s="635">
        <v>178</v>
      </c>
      <c r="EJ18" s="631">
        <f>SUM(EE18:EI18)</f>
        <v>677</v>
      </c>
      <c r="EK18" s="165">
        <f>MAX(EE18:EI18)</f>
        <v>178</v>
      </c>
      <c r="EL18" s="317">
        <f>SUM(EJ18*1000)+EK18+0.4</f>
        <v>677178.4</v>
      </c>
      <c r="EM18" s="318">
        <f>IF(EE18="","",RANK(EL18,EL6:EL65,0))</f>
        <v>27</v>
      </c>
      <c r="EN18" s="165"/>
      <c r="EO18" s="249"/>
      <c r="EP18" s="249"/>
      <c r="EQ18" s="1006">
        <f>IF(EE18="","",RANK(EP23,EP11:EP65,0))</f>
        <v>5</v>
      </c>
      <c r="ET18" s="155">
        <f t="shared" si="13"/>
        <v>13</v>
      </c>
      <c r="EU18" s="166" t="str">
        <f>IF(ES6&lt;13,"",VLOOKUP(13,EA6:EM65,4,FALSE))</f>
        <v>Jelínek Jan</v>
      </c>
      <c r="EV18" s="155">
        <f>IF(ES6&lt;13,"",VLOOKUP(13,EA6:EM65,10,FALSE))</f>
        <v>775</v>
      </c>
      <c r="EW18" s="8"/>
      <c r="EX18" s="8"/>
      <c r="EY18">
        <f>IF(FC18="","",FK18)</f>
        <v>41</v>
      </c>
      <c r="EZ18" s="1061">
        <v>3</v>
      </c>
      <c r="FA18" s="1064" t="s">
        <v>138</v>
      </c>
      <c r="FB18" s="778" t="s">
        <v>8</v>
      </c>
      <c r="FC18" s="785">
        <v>99</v>
      </c>
      <c r="FD18" s="785">
        <v>160</v>
      </c>
      <c r="FE18" s="785">
        <v>127</v>
      </c>
      <c r="FF18" s="785">
        <v>124</v>
      </c>
      <c r="FG18" s="785">
        <v>118</v>
      </c>
      <c r="FH18" s="620">
        <f>SUM(FC18:FG18)</f>
        <v>628</v>
      </c>
      <c r="FI18" s="620">
        <f>MAX(FC18:FG18)</f>
        <v>160</v>
      </c>
      <c r="FJ18" s="689">
        <f>SUM(FH18*1000)+FI18+0.4</f>
        <v>628160.4</v>
      </c>
      <c r="FK18" s="690">
        <f>IF(FC18="","",RANK(FJ18,FJ6:FJ65,0))</f>
        <v>41</v>
      </c>
      <c r="FL18" s="620"/>
      <c r="FM18" s="691"/>
      <c r="FN18" s="691"/>
      <c r="FO18" s="1056">
        <f>IF(FC18="","",RANK(FN23,FN11:FN65,0))</f>
        <v>7</v>
      </c>
      <c r="FP18" s="8"/>
      <c r="FQ18" s="804"/>
      <c r="FR18" s="811">
        <f t="shared" si="14"/>
        <v>13</v>
      </c>
      <c r="FS18" s="809" t="str">
        <f>IF(FQ6&lt;13,"",VLOOKUP(13,EY6:FL65,4,FALSE))</f>
        <v>Kročil Tomáš</v>
      </c>
      <c r="FT18" s="808">
        <f>IF(FQ6&lt;13,"",VLOOKUP(13,EY6:FL65,10,FALSE))</f>
        <v>796</v>
      </c>
      <c r="FU18" s="8"/>
      <c r="FW18">
        <f>IF(GA18="","",GI18)</f>
        <v>1</v>
      </c>
      <c r="FX18" s="979">
        <v>3</v>
      </c>
      <c r="FY18" s="982" t="s">
        <v>160</v>
      </c>
      <c r="FZ18" s="157"/>
      <c r="GA18" s="346">
        <v>3</v>
      </c>
      <c r="GB18" s="346"/>
      <c r="GC18" s="346"/>
      <c r="GD18" s="346"/>
      <c r="GE18" s="346"/>
      <c r="GF18" s="165">
        <f>SUM(GA18:GE18)</f>
        <v>3</v>
      </c>
      <c r="GG18" s="165">
        <f>MAX(GA18:GE18)</f>
        <v>3</v>
      </c>
      <c r="GH18" s="317">
        <f>SUM(GF18*1000)+GG18+0.4</f>
        <v>3003.4</v>
      </c>
      <c r="GI18" s="318">
        <f>IF(GA18="","",RANK(GH18,GH6:GH70,0))</f>
        <v>1</v>
      </c>
      <c r="GJ18" s="165"/>
      <c r="GK18" s="249"/>
      <c r="GL18" s="249"/>
      <c r="GM18" s="985">
        <f>IF(GA18="","",RANK(GL23,GL11:GL71,0))</f>
        <v>1</v>
      </c>
      <c r="GP18" s="155">
        <f t="shared" si="15"/>
        <v>13</v>
      </c>
      <c r="GQ18" s="166" t="str">
        <f>IF(GO6&lt;13,"",VLOOKUP(13,FW6:GI70,4,FALSE))</f>
        <v/>
      </c>
      <c r="GR18" s="155" t="str">
        <f>IF(GO6&lt;13,"",VLOOKUP(13,FW6:GI70,10,FALSE))</f>
        <v/>
      </c>
    </row>
    <row r="19" spans="1:200" ht="15" customHeight="1">
      <c r="A19" s="917"/>
      <c r="B19" s="1046" t="s">
        <v>295</v>
      </c>
      <c r="C19" s="1046"/>
      <c r="D19" s="1047" t="s">
        <v>294</v>
      </c>
      <c r="E19" s="917"/>
      <c r="F19" s="915"/>
      <c r="G19" s="915"/>
      <c r="H19" s="915"/>
      <c r="I19" s="915"/>
      <c r="J19" s="1051" t="s">
        <v>280</v>
      </c>
      <c r="K19" s="915"/>
      <c r="L19" s="915"/>
      <c r="M19" s="915"/>
      <c r="O19">
        <f>IF(S19="","",AA19)</f>
        <v>7</v>
      </c>
      <c r="P19" s="980"/>
      <c r="Q19" s="983"/>
      <c r="R19" s="158" t="s">
        <v>162</v>
      </c>
      <c r="S19" s="327">
        <v>169</v>
      </c>
      <c r="T19" s="319">
        <v>128</v>
      </c>
      <c r="U19" s="319">
        <v>132</v>
      </c>
      <c r="V19" s="319">
        <v>208</v>
      </c>
      <c r="W19" s="319">
        <v>188</v>
      </c>
      <c r="X19" s="159">
        <f>SUM(S19:W19)</f>
        <v>825</v>
      </c>
      <c r="Y19" s="165">
        <f>MAX(S19:W19)</f>
        <v>208</v>
      </c>
      <c r="Z19" s="317">
        <f>SUM(X19*1000)+Y19+0.39</f>
        <v>825208.39</v>
      </c>
      <c r="AA19" s="320">
        <f>IF(S19="","",RANK(Z19,Z6:Z65,0))</f>
        <v>7</v>
      </c>
      <c r="AB19" s="159"/>
      <c r="AC19" s="986"/>
      <c r="AF19" s="155">
        <f t="shared" si="8"/>
        <v>14</v>
      </c>
      <c r="AG19" s="166" t="str">
        <f>IF(AE6&lt;14,"",VLOOKUP(14,O6:AA65,4,FALSE))</f>
        <v>CARVAN PAVEL</v>
      </c>
      <c r="AH19" s="155">
        <f>IF(AE6&lt;14,"",VLOOKUP(14,O6:AA65,10,FALSE))</f>
        <v>752</v>
      </c>
      <c r="AI19" s="8"/>
      <c r="AK19">
        <f>IF(AO19="","",AW19)</f>
        <v>30</v>
      </c>
      <c r="AL19" s="980"/>
      <c r="AM19" s="983"/>
      <c r="AN19" s="237" t="s">
        <v>142</v>
      </c>
      <c r="AO19" s="327">
        <v>187</v>
      </c>
      <c r="AP19" s="319">
        <v>86</v>
      </c>
      <c r="AQ19" s="319">
        <v>115</v>
      </c>
      <c r="AR19" s="319">
        <v>147</v>
      </c>
      <c r="AS19" s="319">
        <v>130</v>
      </c>
      <c r="AT19" s="159">
        <f>SUM(AO19:AS19)</f>
        <v>665</v>
      </c>
      <c r="AU19" s="165">
        <f>MAX(AO19:AS19)</f>
        <v>187</v>
      </c>
      <c r="AV19" s="317">
        <f>SUM(AT19*1000)+AU19+0.39</f>
        <v>665187.39</v>
      </c>
      <c r="AW19" s="320">
        <f>IF(AO19="","",RANK(AV19,AV6:AV65,0))</f>
        <v>30</v>
      </c>
      <c r="AX19" s="159"/>
      <c r="AY19" s="986"/>
      <c r="BB19" s="155">
        <f t="shared" si="9"/>
        <v>14</v>
      </c>
      <c r="BC19" s="166" t="str">
        <f>IF(BA6&lt;14,"",VLOOKUP(14,AK6:AW65,4,FALSE))</f>
        <v>HOLKUP JAN</v>
      </c>
      <c r="BD19" s="155">
        <f>IF(BA6&lt;14,"",VLOOKUP(14,AK6:AW65,10,FALSE))</f>
        <v>790</v>
      </c>
      <c r="BE19" s="8"/>
      <c r="BG19">
        <f>IF(BK19="","",BS19)</f>
        <v>12</v>
      </c>
      <c r="BH19" s="980"/>
      <c r="BI19" s="983"/>
      <c r="BJ19" s="257" t="s">
        <v>199</v>
      </c>
      <c r="BK19" s="344">
        <v>144</v>
      </c>
      <c r="BL19" s="345">
        <v>141</v>
      </c>
      <c r="BM19" s="345">
        <v>178</v>
      </c>
      <c r="BN19" s="345">
        <v>185</v>
      </c>
      <c r="BO19" s="345">
        <v>145</v>
      </c>
      <c r="BP19" s="159">
        <f>SUM(BK19:BO19)</f>
        <v>793</v>
      </c>
      <c r="BQ19" s="165">
        <f>MAX(BK19:BO19)</f>
        <v>185</v>
      </c>
      <c r="BR19" s="317">
        <f>SUM(BP19*1000)+BQ19+0.39</f>
        <v>793185.39</v>
      </c>
      <c r="BS19" s="320">
        <f>IF(BK19="","",RANK(BR19,BR6:BR65,0))</f>
        <v>12</v>
      </c>
      <c r="BT19" s="159"/>
      <c r="BU19" s="250"/>
      <c r="BV19" s="250"/>
      <c r="BW19" s="986"/>
      <c r="BZ19" s="155">
        <f t="shared" si="10"/>
        <v>14</v>
      </c>
      <c r="CA19" s="166" t="str">
        <f>IF(BY6&lt;14,"",VLOOKUP(14,BG6:BS65,4,FALSE))</f>
        <v>JELÍNEK JAN</v>
      </c>
      <c r="CB19" s="155">
        <f>IF(BY6&lt;14,"",VLOOKUP(14,BG6:BS65,10,FALSE))</f>
        <v>770</v>
      </c>
      <c r="CC19" s="8"/>
      <c r="CE19">
        <f>IF(CI19="","",CQ19)</f>
        <v>7</v>
      </c>
      <c r="CF19" s="980"/>
      <c r="CG19" s="983"/>
      <c r="CH19" s="274" t="s">
        <v>255</v>
      </c>
      <c r="CI19" s="327">
        <v>221</v>
      </c>
      <c r="CJ19" s="327">
        <v>163</v>
      </c>
      <c r="CK19" s="327">
        <v>180</v>
      </c>
      <c r="CL19" s="327">
        <v>137</v>
      </c>
      <c r="CM19" s="327">
        <v>139</v>
      </c>
      <c r="CN19" s="159">
        <f>SUM(CI19:CM19)</f>
        <v>840</v>
      </c>
      <c r="CO19" s="165">
        <f>MAX(CI19:CM19)</f>
        <v>221</v>
      </c>
      <c r="CP19" s="317">
        <f>SUM(CN19*1000)+CO19+0.39</f>
        <v>840221.39</v>
      </c>
      <c r="CQ19" s="320">
        <f>IF(CI19="","",RANK(CP19,CP6:CP65,0))</f>
        <v>7</v>
      </c>
      <c r="CR19" s="159"/>
      <c r="CS19" s="250"/>
      <c r="CT19" s="250"/>
      <c r="CU19" s="986"/>
      <c r="CX19" s="155">
        <f t="shared" si="11"/>
        <v>14</v>
      </c>
      <c r="CY19" s="166" t="str">
        <f>IF(CW6&lt;14,"",VLOOKUP(14,CE6:CQ65,4,FALSE))</f>
        <v>MYSLIVEČEK JAROSLAV</v>
      </c>
      <c r="CZ19" s="155">
        <f>IF(CW6&lt;14,"",VLOOKUP(14,CE6:CQ65,10,FALSE))</f>
        <v>754</v>
      </c>
      <c r="DA19" s="8"/>
      <c r="DC19">
        <f>IF(DG19="","",DO19)</f>
        <v>32</v>
      </c>
      <c r="DD19" s="980"/>
      <c r="DE19" s="989"/>
      <c r="DF19" s="536" t="s">
        <v>284</v>
      </c>
      <c r="DG19" s="347">
        <v>163</v>
      </c>
      <c r="DH19" s="347">
        <v>90</v>
      </c>
      <c r="DI19" s="347">
        <v>162</v>
      </c>
      <c r="DJ19" s="347">
        <v>144</v>
      </c>
      <c r="DK19" s="347">
        <v>122</v>
      </c>
      <c r="DL19" s="159">
        <f>SUM(DG19:DK19)</f>
        <v>681</v>
      </c>
      <c r="DM19" s="165">
        <f>MAX(DG19:DK19)</f>
        <v>163</v>
      </c>
      <c r="DN19" s="317">
        <f>SUM(DL19*1000)+DM19+0.39</f>
        <v>681163.39</v>
      </c>
      <c r="DO19" s="320">
        <f>IF(DG19="","",RANK(DN19,DN6:DN65,0))</f>
        <v>32</v>
      </c>
      <c r="DP19" s="159"/>
      <c r="DQ19" s="250"/>
      <c r="DR19" s="250"/>
      <c r="DS19" s="986"/>
      <c r="DV19" s="155">
        <f t="shared" si="12"/>
        <v>14</v>
      </c>
      <c r="DW19" s="166" t="str">
        <f>IF(DU6&lt;14,"",VLOOKUP(14,DC6:DO65,4,FALSE))</f>
        <v>Alba Vladimír</v>
      </c>
      <c r="DX19" s="155">
        <f>IF(DU6&lt;14,"",VLOOKUP(14,DC6:DO65,10,FALSE))</f>
        <v>776</v>
      </c>
      <c r="DY19" s="8"/>
      <c r="EA19">
        <f>IF(EE19="","",EM19)</f>
        <v>28</v>
      </c>
      <c r="EB19" s="980"/>
      <c r="EC19" s="1003"/>
      <c r="ED19" s="632" t="s">
        <v>290</v>
      </c>
      <c r="EE19" s="636">
        <v>125</v>
      </c>
      <c r="EF19" s="637">
        <v>170</v>
      </c>
      <c r="EG19" s="637">
        <v>108</v>
      </c>
      <c r="EH19" s="637">
        <v>129</v>
      </c>
      <c r="EI19" s="637">
        <v>142</v>
      </c>
      <c r="EJ19" s="633">
        <f>SUM(EE19:EI19)</f>
        <v>674</v>
      </c>
      <c r="EK19" s="165">
        <f>MAX(EE19:EI19)</f>
        <v>170</v>
      </c>
      <c r="EL19" s="317">
        <f>SUM(EJ19*1000)+EK19+0.39</f>
        <v>674170.39</v>
      </c>
      <c r="EM19" s="320">
        <f>IF(EE19="","",RANK(EL19,EL6:EL65,0))</f>
        <v>28</v>
      </c>
      <c r="EN19" s="159"/>
      <c r="EO19" s="250"/>
      <c r="EP19" s="250"/>
      <c r="EQ19" s="992"/>
      <c r="ET19" s="155">
        <f t="shared" si="13"/>
        <v>14</v>
      </c>
      <c r="EU19" s="166" t="str">
        <f>IF(ES6&lt;14,"",VLOOKUP(14,EA6:EM65,4,FALSE))</f>
        <v>Bošek Jan</v>
      </c>
      <c r="EV19" s="155">
        <f>IF(ES6&lt;14,"",VLOOKUP(14,EA6:EM65,10,FALSE))</f>
        <v>773</v>
      </c>
      <c r="EW19" s="8"/>
      <c r="EX19" s="8"/>
      <c r="EY19">
        <f>IF(FC19="","",FK19)</f>
        <v>36</v>
      </c>
      <c r="EZ19" s="1062"/>
      <c r="FA19" s="1065"/>
      <c r="FB19" s="779" t="s">
        <v>19</v>
      </c>
      <c r="FC19" s="692">
        <v>161</v>
      </c>
      <c r="FD19" s="692">
        <v>107</v>
      </c>
      <c r="FE19" s="692">
        <v>114</v>
      </c>
      <c r="FF19" s="692">
        <v>132</v>
      </c>
      <c r="FG19" s="692">
        <v>130</v>
      </c>
      <c r="FH19" s="623">
        <f>SUM(FC19:FG19)</f>
        <v>644</v>
      </c>
      <c r="FI19" s="620">
        <f>MAX(FC19:FG19)</f>
        <v>161</v>
      </c>
      <c r="FJ19" s="689">
        <f>SUM(FH19*1000)+FI19+0.39</f>
        <v>644161.39</v>
      </c>
      <c r="FK19" s="693">
        <f>IF(FC19="","",RANK(FJ19,FJ6:FJ65,0))</f>
        <v>36</v>
      </c>
      <c r="FL19" s="623"/>
      <c r="FM19" s="694"/>
      <c r="FN19" s="694"/>
      <c r="FO19" s="1056"/>
      <c r="FP19" s="8"/>
      <c r="FQ19" s="804"/>
      <c r="FR19" s="811">
        <f t="shared" si="14"/>
        <v>14</v>
      </c>
      <c r="FS19" s="809" t="str">
        <f>IF(FQ6&lt;14,"",VLOOKUP(14,EY6:FL65,4,FALSE))</f>
        <v>Růžička Ladislav</v>
      </c>
      <c r="FT19" s="808">
        <f>IF(FQ6&lt;14,"",VLOOKUP(14,EY6:FL65,10,FALSE))</f>
        <v>792</v>
      </c>
      <c r="FU19" s="8"/>
      <c r="FW19" t="str">
        <f>IF(GA19="","",GI19)</f>
        <v/>
      </c>
      <c r="FX19" s="980"/>
      <c r="FY19" s="983"/>
      <c r="FZ19" s="160"/>
      <c r="GA19" s="347"/>
      <c r="GB19" s="347"/>
      <c r="GC19" s="347"/>
      <c r="GD19" s="347"/>
      <c r="GE19" s="347"/>
      <c r="GF19" s="159">
        <f>SUM(GA19:GE19)</f>
        <v>0</v>
      </c>
      <c r="GG19" s="165">
        <f>MAX(GA19:GE19)</f>
        <v>0</v>
      </c>
      <c r="GH19" s="317">
        <f>SUM(GF19*1000)+GG19+0.39</f>
        <v>0.39</v>
      </c>
      <c r="GI19" s="320" t="str">
        <f>IF(GA19="","",RANK(GH19,GH6:GH70,0))</f>
        <v/>
      </c>
      <c r="GJ19" s="159"/>
      <c r="GK19" s="250"/>
      <c r="GL19" s="250"/>
      <c r="GM19" s="986"/>
      <c r="GP19" s="155">
        <f t="shared" si="15"/>
        <v>14</v>
      </c>
      <c r="GQ19" s="166" t="str">
        <f>IF(GO6&lt;14,"",VLOOKUP(14,FW6:GI70,4,FALSE))</f>
        <v/>
      </c>
      <c r="GR19" s="155" t="str">
        <f>IF(GO6&lt;14,"",VLOOKUP(14,FW6:GI70,10,FALSE))</f>
        <v/>
      </c>
    </row>
    <row r="20" spans="1:200" ht="15" customHeight="1">
      <c r="A20" s="917"/>
      <c r="B20" s="1046"/>
      <c r="C20" s="1046"/>
      <c r="D20" s="1047"/>
      <c r="E20" s="917"/>
      <c r="F20" s="915"/>
      <c r="G20" s="915"/>
      <c r="H20" s="915"/>
      <c r="I20" s="915"/>
      <c r="J20" s="1052"/>
      <c r="K20" s="915"/>
      <c r="L20" s="915"/>
      <c r="M20" s="915"/>
      <c r="O20">
        <f>IF(S20="","",AA20)</f>
        <v>10</v>
      </c>
      <c r="P20" s="980"/>
      <c r="Q20" s="983"/>
      <c r="R20" s="158" t="s">
        <v>163</v>
      </c>
      <c r="S20" s="327">
        <v>127</v>
      </c>
      <c r="T20" s="319">
        <v>158</v>
      </c>
      <c r="U20" s="319">
        <v>144</v>
      </c>
      <c r="V20" s="319">
        <v>217</v>
      </c>
      <c r="W20" s="319">
        <v>150</v>
      </c>
      <c r="X20" s="159">
        <f>SUM(S20:W20)</f>
        <v>796</v>
      </c>
      <c r="Y20" s="165">
        <f>MAX(S20:W20)</f>
        <v>217</v>
      </c>
      <c r="Z20" s="317">
        <f>SUM(X20*1000)+Y20+0.38</f>
        <v>796217.38</v>
      </c>
      <c r="AA20" s="320">
        <f>IF(S20="","",RANK(Z20,Z6:Z65,0))</f>
        <v>10</v>
      </c>
      <c r="AB20" s="159"/>
      <c r="AC20" s="986"/>
      <c r="AF20" s="155">
        <f t="shared" si="8"/>
        <v>15</v>
      </c>
      <c r="AG20" s="166" t="str">
        <f>IF(AE6&lt;15,"",VLOOKUP(15,O6:AA65,4,FALSE))</f>
        <v>KOCŮR JAROSLAV</v>
      </c>
      <c r="AH20" s="155">
        <f>IF(AE6&lt;15,"",VLOOKUP(15,O6:AA65,10,FALSE))</f>
        <v>744</v>
      </c>
      <c r="AI20" s="8"/>
      <c r="AK20">
        <f>IF(AO20="","",AW20)</f>
        <v>41</v>
      </c>
      <c r="AL20" s="980"/>
      <c r="AM20" s="983"/>
      <c r="AN20" s="237" t="s">
        <v>147</v>
      </c>
      <c r="AO20" s="327">
        <v>107</v>
      </c>
      <c r="AP20" s="319">
        <v>124</v>
      </c>
      <c r="AQ20" s="319">
        <v>136</v>
      </c>
      <c r="AR20" s="319">
        <v>110</v>
      </c>
      <c r="AS20" s="319">
        <v>131</v>
      </c>
      <c r="AT20" s="159">
        <f>SUM(AO20:AS20)</f>
        <v>608</v>
      </c>
      <c r="AU20" s="165">
        <f>MAX(AO20:AS20)</f>
        <v>136</v>
      </c>
      <c r="AV20" s="317">
        <f>SUM(AT20*1000)+AU20+0.38</f>
        <v>608136.38</v>
      </c>
      <c r="AW20" s="320">
        <f>IF(AO20="","",RANK(AV20,AV6:AV65,0))</f>
        <v>41</v>
      </c>
      <c r="AX20" s="159"/>
      <c r="AY20" s="986"/>
      <c r="BB20" s="155">
        <f t="shared" si="9"/>
        <v>15</v>
      </c>
      <c r="BC20" s="166" t="str">
        <f>IF(BA6&lt;15,"",VLOOKUP(15,AK6:AW65,4,FALSE))</f>
        <v>MYSLIVEČEK JAROSLAV</v>
      </c>
      <c r="BD20" s="155">
        <f>IF(BA6&lt;15,"",VLOOKUP(15,AK6:AW65,10,FALSE))</f>
        <v>768</v>
      </c>
      <c r="BE20" s="8"/>
      <c r="BG20">
        <f>IF(BK20="","",BS20)</f>
        <v>15</v>
      </c>
      <c r="BH20" s="980"/>
      <c r="BI20" s="983"/>
      <c r="BJ20" s="257" t="s">
        <v>200</v>
      </c>
      <c r="BK20" s="344">
        <v>130</v>
      </c>
      <c r="BL20" s="345">
        <v>146</v>
      </c>
      <c r="BM20" s="345">
        <v>183</v>
      </c>
      <c r="BN20" s="345">
        <v>167</v>
      </c>
      <c r="BO20" s="345">
        <v>142</v>
      </c>
      <c r="BP20" s="159">
        <f>SUM(BK20:BO20)</f>
        <v>768</v>
      </c>
      <c r="BQ20" s="165">
        <f>MAX(BK20:BO20)</f>
        <v>183</v>
      </c>
      <c r="BR20" s="317">
        <f>SUM(BP20*1000)+BQ20+0.38</f>
        <v>768183.38</v>
      </c>
      <c r="BS20" s="320">
        <f>IF(BK20="","",RANK(BR20,BR6:BR65,0))</f>
        <v>15</v>
      </c>
      <c r="BT20" s="159"/>
      <c r="BU20" s="250"/>
      <c r="BV20" s="250"/>
      <c r="BW20" s="986"/>
      <c r="BZ20" s="155">
        <f t="shared" si="10"/>
        <v>15</v>
      </c>
      <c r="CA20" s="166" t="str">
        <f>IF(BY6&lt;15,"",VLOOKUP(15,BG6:BS65,4,FALSE))</f>
        <v>KALFIŘT PETR</v>
      </c>
      <c r="CB20" s="155">
        <f>IF(BY6&lt;15,"",VLOOKUP(15,BG6:BS65,10,FALSE))</f>
        <v>768</v>
      </c>
      <c r="CC20" s="8"/>
      <c r="CE20">
        <f>IF(CI20="","",CQ20)</f>
        <v>27</v>
      </c>
      <c r="CF20" s="980"/>
      <c r="CG20" s="983"/>
      <c r="CH20" s="274" t="s">
        <v>238</v>
      </c>
      <c r="CI20" s="327">
        <v>144</v>
      </c>
      <c r="CJ20" s="327">
        <v>125</v>
      </c>
      <c r="CK20" s="327">
        <v>143</v>
      </c>
      <c r="CL20" s="327">
        <v>146</v>
      </c>
      <c r="CM20" s="327">
        <v>117</v>
      </c>
      <c r="CN20" s="159">
        <f>SUM(CI20:CM20)</f>
        <v>675</v>
      </c>
      <c r="CO20" s="165">
        <f>MAX(CI20:CM20)</f>
        <v>146</v>
      </c>
      <c r="CP20" s="317">
        <f>SUM(CN20*1000)+CO20+0.38</f>
        <v>675146.38</v>
      </c>
      <c r="CQ20" s="320">
        <f>IF(CI20="","",RANK(CP20,CP6:CP65,0))</f>
        <v>27</v>
      </c>
      <c r="CR20" s="159"/>
      <c r="CS20" s="250"/>
      <c r="CT20" s="250"/>
      <c r="CU20" s="986"/>
      <c r="CX20" s="155">
        <f t="shared" si="11"/>
        <v>15</v>
      </c>
      <c r="CY20" s="166" t="str">
        <f>IF(CW6&lt;15,"",VLOOKUP(15,CE6:CQ65,4,FALSE))</f>
        <v>BREJCHA JAROSLAV</v>
      </c>
      <c r="CZ20" s="155">
        <f>IF(CW6&lt;15,"",VLOOKUP(15,CE6:CQ65,10,FALSE))</f>
        <v>753</v>
      </c>
      <c r="DA20" s="8"/>
      <c r="DC20">
        <f>IF(DG20="","",DO20)</f>
        <v>13</v>
      </c>
      <c r="DD20" s="980"/>
      <c r="DE20" s="989"/>
      <c r="DF20" s="536" t="s">
        <v>16</v>
      </c>
      <c r="DG20" s="347">
        <v>161</v>
      </c>
      <c r="DH20" s="347">
        <v>153</v>
      </c>
      <c r="DI20" s="347">
        <v>148</v>
      </c>
      <c r="DJ20" s="347">
        <v>145</v>
      </c>
      <c r="DK20" s="347">
        <v>175</v>
      </c>
      <c r="DL20" s="159">
        <f>SUM(DG20:DK20)</f>
        <v>782</v>
      </c>
      <c r="DM20" s="165">
        <f>MAX(DG20:DK20)</f>
        <v>175</v>
      </c>
      <c r="DN20" s="317">
        <f>SUM(DL20*1000)+DM20+0.38</f>
        <v>782175.38</v>
      </c>
      <c r="DO20" s="320">
        <f>IF(DG20="","",RANK(DN20,DN6:DN65,0))</f>
        <v>13</v>
      </c>
      <c r="DP20" s="159"/>
      <c r="DQ20" s="250"/>
      <c r="DR20" s="250"/>
      <c r="DS20" s="986"/>
      <c r="DV20" s="155">
        <f t="shared" si="12"/>
        <v>15</v>
      </c>
      <c r="DW20" s="166" t="str">
        <f>IF(DU6&lt;15,"",VLOOKUP(15,DC6:DO65,4,FALSE))</f>
        <v>Pospíšil Václav</v>
      </c>
      <c r="DX20" s="155">
        <f>IF(DU6&lt;15,"",VLOOKUP(15,DC6:DO65,10,FALSE))</f>
        <v>766</v>
      </c>
      <c r="DY20" s="8"/>
      <c r="EA20">
        <f>IF(EE20="","",EM20)</f>
        <v>5</v>
      </c>
      <c r="EB20" s="980"/>
      <c r="EC20" s="1003"/>
      <c r="ED20" s="632" t="s">
        <v>82</v>
      </c>
      <c r="EE20" s="636">
        <v>187</v>
      </c>
      <c r="EF20" s="637">
        <v>163</v>
      </c>
      <c r="EG20" s="637">
        <v>145</v>
      </c>
      <c r="EH20" s="637">
        <v>175</v>
      </c>
      <c r="EI20" s="637">
        <v>193</v>
      </c>
      <c r="EJ20" s="633">
        <f>SUM(EE20:EI20)</f>
        <v>863</v>
      </c>
      <c r="EK20" s="165">
        <f>MAX(EE20:EI20)</f>
        <v>193</v>
      </c>
      <c r="EL20" s="317">
        <f>SUM(EJ20*1000)+EK20+0.38</f>
        <v>863193.38</v>
      </c>
      <c r="EM20" s="320">
        <f>IF(EE20="","",RANK(EL20,EL6:EL65,0))</f>
        <v>5</v>
      </c>
      <c r="EN20" s="159"/>
      <c r="EO20" s="250"/>
      <c r="EP20" s="250"/>
      <c r="EQ20" s="992"/>
      <c r="ET20" s="155">
        <f t="shared" si="13"/>
        <v>15</v>
      </c>
      <c r="EU20" s="166" t="str">
        <f>IF(ES6&lt;15,"",VLOOKUP(15,EA6:EM65,4,FALSE))</f>
        <v>Carvan Pavel</v>
      </c>
      <c r="EV20" s="155">
        <f>IF(ES6&lt;15,"",VLOOKUP(15,EA6:EM65,10,FALSE))</f>
        <v>762</v>
      </c>
      <c r="EW20" s="8"/>
      <c r="EX20" s="8"/>
      <c r="EY20">
        <f>IF(FC20="","",FK20)</f>
        <v>45</v>
      </c>
      <c r="EZ20" s="1062"/>
      <c r="FA20" s="1065"/>
      <c r="FB20" s="779" t="s">
        <v>77</v>
      </c>
      <c r="FC20" s="692">
        <v>121</v>
      </c>
      <c r="FD20" s="692">
        <v>130</v>
      </c>
      <c r="FE20" s="692">
        <v>134</v>
      </c>
      <c r="FF20" s="692">
        <v>87</v>
      </c>
      <c r="FG20" s="692">
        <v>114</v>
      </c>
      <c r="FH20" s="623">
        <f>SUM(FC20:FG20)</f>
        <v>586</v>
      </c>
      <c r="FI20" s="620">
        <f>MAX(FC20:FG20)</f>
        <v>134</v>
      </c>
      <c r="FJ20" s="689">
        <f>SUM(FH20*1000)+FI20+0.38</f>
        <v>586134.38</v>
      </c>
      <c r="FK20" s="693">
        <f>IF(FC20="","",RANK(FJ20,FJ6:FJ65,0))</f>
        <v>45</v>
      </c>
      <c r="FL20" s="623"/>
      <c r="FM20" s="694"/>
      <c r="FN20" s="694"/>
      <c r="FO20" s="1056"/>
      <c r="FP20" s="8"/>
      <c r="FQ20" s="804"/>
      <c r="FR20" s="811">
        <f t="shared" si="14"/>
        <v>15</v>
      </c>
      <c r="FS20" s="809" t="str">
        <f>IF(FQ6&lt;15,"",VLOOKUP(15,EY6:FL65,4,FALSE))</f>
        <v>Pecka Jiří</v>
      </c>
      <c r="FT20" s="808">
        <f>IF(FQ6&lt;15,"",VLOOKUP(15,EY6:FL65,10,FALSE))</f>
        <v>790</v>
      </c>
      <c r="FU20" s="8"/>
      <c r="FW20" t="str">
        <f>IF(GA20="","",GI20)</f>
        <v/>
      </c>
      <c r="FX20" s="980"/>
      <c r="FY20" s="983"/>
      <c r="FZ20" s="160"/>
      <c r="GA20" s="347"/>
      <c r="GB20" s="347"/>
      <c r="GC20" s="347"/>
      <c r="GD20" s="347"/>
      <c r="GE20" s="347"/>
      <c r="GF20" s="159">
        <f>SUM(GA20:GE20)</f>
        <v>0</v>
      </c>
      <c r="GG20" s="165">
        <f>MAX(GA20:GE20)</f>
        <v>0</v>
      </c>
      <c r="GH20" s="317">
        <f>SUM(GF20*1000)+GG20+0.38</f>
        <v>0.38</v>
      </c>
      <c r="GI20" s="320" t="str">
        <f>IF(GA20="","",RANK(GH20,GH6:GH70,0))</f>
        <v/>
      </c>
      <c r="GJ20" s="159"/>
      <c r="GK20" s="250"/>
      <c r="GL20" s="250"/>
      <c r="GM20" s="986"/>
      <c r="GP20" s="155">
        <f t="shared" si="15"/>
        <v>15</v>
      </c>
      <c r="GQ20" s="166" t="str">
        <f>IF(GO6&lt;15,"",VLOOKUP(15,FW6:GI70,4,FALSE))</f>
        <v/>
      </c>
      <c r="GR20" s="155" t="str">
        <f>IF(GO6&lt;15,"",VLOOKUP(15,FW6:GI70,10,FALSE))</f>
        <v/>
      </c>
    </row>
    <row r="21" spans="1:200" ht="15" customHeight="1">
      <c r="A21" s="917"/>
      <c r="B21" s="917"/>
      <c r="C21" s="917"/>
      <c r="D21" s="917"/>
      <c r="E21" s="917"/>
      <c r="F21" s="915"/>
      <c r="G21" s="915"/>
      <c r="H21" s="915"/>
      <c r="I21" s="915"/>
      <c r="J21" s="915"/>
      <c r="K21" s="915"/>
      <c r="L21" s="915"/>
      <c r="M21" s="915"/>
      <c r="O21">
        <f>IF(S21="","",AA21)</f>
        <v>2</v>
      </c>
      <c r="P21" s="980"/>
      <c r="Q21" s="983"/>
      <c r="R21" s="158" t="s">
        <v>165</v>
      </c>
      <c r="S21" s="327">
        <v>184</v>
      </c>
      <c r="T21" s="319">
        <v>165</v>
      </c>
      <c r="U21" s="319">
        <v>192</v>
      </c>
      <c r="V21" s="319">
        <v>170</v>
      </c>
      <c r="W21" s="319">
        <v>184</v>
      </c>
      <c r="X21" s="159">
        <f>SUM(S21:W21)</f>
        <v>895</v>
      </c>
      <c r="Y21" s="165">
        <f>MAX(S21:W21)</f>
        <v>192</v>
      </c>
      <c r="Z21" s="317">
        <f>SUM(X21*1000)+Y21+0.37</f>
        <v>895192.37</v>
      </c>
      <c r="AA21" s="320">
        <f>IF(S21="","",RANK(Z21,Z6:Z65,0))</f>
        <v>2</v>
      </c>
      <c r="AB21" s="159"/>
      <c r="AC21" s="986"/>
      <c r="AF21" s="155">
        <f t="shared" si="8"/>
        <v>16</v>
      </c>
      <c r="AG21" s="166" t="str">
        <f>IF(AE6&lt;16,"",VLOOKUP(16,O6:AA65,4,FALSE))</f>
        <v>RŮŽIČKA LADISLAV</v>
      </c>
      <c r="AH21" s="155">
        <f>IF(AE6&lt;16,"",VLOOKUP(16,O6:AA65,10,FALSE))</f>
        <v>744</v>
      </c>
      <c r="AI21" s="8"/>
      <c r="AK21">
        <f>IF(AO21="","",AW21)</f>
        <v>48</v>
      </c>
      <c r="AL21" s="980"/>
      <c r="AM21" s="983"/>
      <c r="AN21" s="237" t="s">
        <v>139</v>
      </c>
      <c r="AO21" s="327">
        <v>128</v>
      </c>
      <c r="AP21" s="319">
        <v>88</v>
      </c>
      <c r="AQ21" s="319">
        <v>84</v>
      </c>
      <c r="AR21" s="319">
        <v>145</v>
      </c>
      <c r="AS21" s="319">
        <v>103</v>
      </c>
      <c r="AT21" s="159">
        <f>SUM(AO21:AS21)</f>
        <v>548</v>
      </c>
      <c r="AU21" s="165">
        <f>MAX(AO21:AS21)</f>
        <v>145</v>
      </c>
      <c r="AV21" s="317">
        <f>SUM(AT21*1000)+AU21+0.37</f>
        <v>548145.37</v>
      </c>
      <c r="AW21" s="320">
        <f>IF(AO21="","",RANK(AV21,AV6:AV65,0))</f>
        <v>48</v>
      </c>
      <c r="AX21" s="159"/>
      <c r="AY21" s="986"/>
      <c r="BB21" s="155">
        <f t="shared" si="9"/>
        <v>16</v>
      </c>
      <c r="BC21" s="166" t="str">
        <f>IF(BA6&lt;16,"",VLOOKUP(16,AK6:AW65,4,FALSE))</f>
        <v>DOUŠA ADAM</v>
      </c>
      <c r="BD21" s="155">
        <f>IF(BA6&lt;16,"",VLOOKUP(16,AK6:AW65,10,FALSE))</f>
        <v>766</v>
      </c>
      <c r="BE21" s="8"/>
      <c r="BG21">
        <f>IF(BK21="","",BS21)</f>
        <v>26</v>
      </c>
      <c r="BH21" s="980"/>
      <c r="BI21" s="983"/>
      <c r="BJ21" s="257" t="s">
        <v>201</v>
      </c>
      <c r="BK21" s="344">
        <v>129</v>
      </c>
      <c r="BL21" s="345">
        <v>144</v>
      </c>
      <c r="BM21" s="345">
        <v>124</v>
      </c>
      <c r="BN21" s="345">
        <v>138</v>
      </c>
      <c r="BO21" s="345">
        <v>168</v>
      </c>
      <c r="BP21" s="159">
        <f>SUM(BK21:BO21)</f>
        <v>703</v>
      </c>
      <c r="BQ21" s="165">
        <f>MAX(BK21:BO21)</f>
        <v>168</v>
      </c>
      <c r="BR21" s="317">
        <f>SUM(BP21*1000)+BQ21+0.37</f>
        <v>703168.37</v>
      </c>
      <c r="BS21" s="320">
        <f>IF(BK21="","",RANK(BR21,BR6:BR65,0))</f>
        <v>26</v>
      </c>
      <c r="BT21" s="159"/>
      <c r="BU21" s="250"/>
      <c r="BV21" s="250"/>
      <c r="BW21" s="986"/>
      <c r="BZ21" s="155">
        <f t="shared" si="10"/>
        <v>16</v>
      </c>
      <c r="CA21" s="166" t="str">
        <f>IF(BY6&lt;16,"",VLOOKUP(16,BG6:BS65,4,FALSE))</f>
        <v>BERGER MICHAL</v>
      </c>
      <c r="CB21" s="155">
        <f>IF(BY6&lt;16,"",VLOOKUP(16,BG6:BS65,10,FALSE))</f>
        <v>767</v>
      </c>
      <c r="CC21" s="8"/>
      <c r="CE21">
        <f>IF(CI21="","",CQ21)</f>
        <v>19</v>
      </c>
      <c r="CF21" s="980"/>
      <c r="CG21" s="983"/>
      <c r="CH21" s="274" t="s">
        <v>245</v>
      </c>
      <c r="CI21" s="327">
        <v>178</v>
      </c>
      <c r="CJ21" s="327">
        <v>158</v>
      </c>
      <c r="CK21" s="327">
        <v>152</v>
      </c>
      <c r="CL21" s="327">
        <v>130</v>
      </c>
      <c r="CM21" s="327">
        <v>106</v>
      </c>
      <c r="CN21" s="159">
        <f>SUM(CI21:CM21)</f>
        <v>724</v>
      </c>
      <c r="CO21" s="165">
        <f>MAX(CI21:CM21)</f>
        <v>178</v>
      </c>
      <c r="CP21" s="317">
        <f>SUM(CN21*1000)+CO21+0.37</f>
        <v>724178.37</v>
      </c>
      <c r="CQ21" s="320">
        <f>IF(CI21="","",RANK(CP21,CP6:CP65,0))</f>
        <v>19</v>
      </c>
      <c r="CR21" s="159"/>
      <c r="CS21" s="250"/>
      <c r="CT21" s="250"/>
      <c r="CU21" s="986"/>
      <c r="CX21" s="155">
        <f t="shared" si="11"/>
        <v>16</v>
      </c>
      <c r="CY21" s="166" t="str">
        <f>IF(CW6&lt;16,"",VLOOKUP(16,CE6:CQ65,4,FALSE))</f>
        <v>ALBA VLADIMÍR</v>
      </c>
      <c r="CZ21" s="155">
        <f>IF(CW6&lt;16,"",VLOOKUP(16,CE6:CQ65,10,FALSE))</f>
        <v>738</v>
      </c>
      <c r="DA21" s="8"/>
      <c r="DC21">
        <f>IF(DG21="","",DO21)</f>
        <v>8</v>
      </c>
      <c r="DD21" s="980"/>
      <c r="DE21" s="989"/>
      <c r="DF21" s="536" t="s">
        <v>2</v>
      </c>
      <c r="DG21" s="347">
        <v>145</v>
      </c>
      <c r="DH21" s="347">
        <v>191</v>
      </c>
      <c r="DI21" s="347">
        <v>153</v>
      </c>
      <c r="DJ21" s="347">
        <v>146</v>
      </c>
      <c r="DK21" s="605">
        <v>170</v>
      </c>
      <c r="DL21" s="159">
        <f>SUM(DG21:DK21)</f>
        <v>805</v>
      </c>
      <c r="DM21" s="165">
        <f>MAX(DG21:DK21)</f>
        <v>191</v>
      </c>
      <c r="DN21" s="317">
        <f>SUM(DL21*1000)+DM21+0.37</f>
        <v>805191.37</v>
      </c>
      <c r="DO21" s="320">
        <f>IF(DG21="","",RANK(DN21,DN6:DN65,0))</f>
        <v>8</v>
      </c>
      <c r="DP21" s="159"/>
      <c r="DQ21" s="250"/>
      <c r="DR21" s="250"/>
      <c r="DS21" s="986"/>
      <c r="DV21" s="155">
        <f t="shared" si="12"/>
        <v>16</v>
      </c>
      <c r="DW21" s="166" t="str">
        <f>IF(DU6&lt;16,"",VLOOKUP(16,DC6:DO65,4,FALSE))</f>
        <v>Troller Pavel</v>
      </c>
      <c r="DX21" s="155">
        <f>IF(DU6&lt;16,"",VLOOKUP(16,DC6:DO65,10,FALSE))</f>
        <v>757</v>
      </c>
      <c r="DY21" s="8"/>
      <c r="EA21">
        <f>IF(EE21="","",EM21)</f>
        <v>31</v>
      </c>
      <c r="EB21" s="980"/>
      <c r="EC21" s="1003"/>
      <c r="ED21" s="632" t="s">
        <v>9</v>
      </c>
      <c r="EE21" s="636">
        <v>106</v>
      </c>
      <c r="EF21" s="637">
        <v>134</v>
      </c>
      <c r="EG21" s="637">
        <v>143</v>
      </c>
      <c r="EH21" s="637">
        <v>149</v>
      </c>
      <c r="EI21" s="637">
        <v>125</v>
      </c>
      <c r="EJ21" s="633">
        <f>SUM(EE21:EI21)</f>
        <v>657</v>
      </c>
      <c r="EK21" s="165">
        <f>MAX(EE21:EI21)</f>
        <v>149</v>
      </c>
      <c r="EL21" s="317">
        <f>SUM(EJ21*1000)+EK21+0.37</f>
        <v>657149.37</v>
      </c>
      <c r="EM21" s="320">
        <f>IF(EE21="","",RANK(EL21,EL6:EL65,0))</f>
        <v>31</v>
      </c>
      <c r="EN21" s="159"/>
      <c r="EO21" s="250"/>
      <c r="EP21" s="250"/>
      <c r="EQ21" s="992"/>
      <c r="ET21" s="155">
        <f t="shared" si="13"/>
        <v>16</v>
      </c>
      <c r="EU21" s="166" t="str">
        <f>IF(ES6&lt;16,"",VLOOKUP(16,EA6:EM65,4,FALSE))</f>
        <v>Krupová Martina</v>
      </c>
      <c r="EV21" s="155">
        <f>IF(ES6&lt;16,"",VLOOKUP(16,EA6:EM65,10,FALSE))</f>
        <v>755</v>
      </c>
      <c r="EW21" s="8"/>
      <c r="EX21" s="8"/>
      <c r="EY21">
        <f>IF(FC21="","",FK21)</f>
        <v>32</v>
      </c>
      <c r="EZ21" s="1062"/>
      <c r="FA21" s="1065"/>
      <c r="FB21" s="779" t="s">
        <v>297</v>
      </c>
      <c r="FC21" s="692">
        <v>120</v>
      </c>
      <c r="FD21" s="692">
        <v>154</v>
      </c>
      <c r="FE21" s="692">
        <v>132</v>
      </c>
      <c r="FF21" s="692">
        <v>130</v>
      </c>
      <c r="FG21" s="692">
        <v>122</v>
      </c>
      <c r="FH21" s="623">
        <f>SUM(FC21:FG21)</f>
        <v>658</v>
      </c>
      <c r="FI21" s="620">
        <f>MAX(FC21:FG21)</f>
        <v>154</v>
      </c>
      <c r="FJ21" s="689">
        <f>SUM(FH21*1000)+FI21+0.37</f>
        <v>658154.37</v>
      </c>
      <c r="FK21" s="693">
        <f>IF(FC21="","",RANK(FJ21,FJ6:FJ65,0))</f>
        <v>32</v>
      </c>
      <c r="FL21" s="623"/>
      <c r="FM21" s="694"/>
      <c r="FN21" s="694"/>
      <c r="FO21" s="1056"/>
      <c r="FP21" s="8"/>
      <c r="FQ21" s="804"/>
      <c r="FR21" s="811">
        <f t="shared" si="14"/>
        <v>16</v>
      </c>
      <c r="FS21" s="809" t="str">
        <f>IF(FQ6&lt;16,"",VLOOKUP(16,EY6:FL65,4,FALSE))</f>
        <v>Věchtík Antoním</v>
      </c>
      <c r="FT21" s="808">
        <f>IF(FQ6&lt;16,"",VLOOKUP(16,EY6:FL65,10,FALSE))</f>
        <v>766</v>
      </c>
      <c r="FU21" s="8"/>
      <c r="FW21" t="str">
        <f>IF(GA21="","",GI21)</f>
        <v/>
      </c>
      <c r="FX21" s="980"/>
      <c r="FY21" s="983"/>
      <c r="FZ21" s="160"/>
      <c r="GA21" s="347"/>
      <c r="GB21" s="347"/>
      <c r="GC21" s="347"/>
      <c r="GD21" s="347"/>
      <c r="GE21" s="347"/>
      <c r="GF21" s="159">
        <f>SUM(GA21:GE21)</f>
        <v>0</v>
      </c>
      <c r="GG21" s="165">
        <f>MAX(GA21:GE21)</f>
        <v>0</v>
      </c>
      <c r="GH21" s="317">
        <f>SUM(GF21*1000)+GG21+0.37</f>
        <v>0.37</v>
      </c>
      <c r="GI21" s="320" t="str">
        <f>IF(GA21="","",RANK(GH21,GH6:GH70,0))</f>
        <v/>
      </c>
      <c r="GJ21" s="159"/>
      <c r="GK21" s="250"/>
      <c r="GL21" s="250"/>
      <c r="GM21" s="986"/>
      <c r="GP21" s="155">
        <f t="shared" si="15"/>
        <v>16</v>
      </c>
      <c r="GQ21" s="166" t="str">
        <f>IF(GO6&lt;16,"",VLOOKUP(16,FW6:GI70,4,FALSE))</f>
        <v/>
      </c>
      <c r="GR21" s="155" t="str">
        <f>IF(GO6&lt;16,"",VLOOKUP(16,FW6:GI70,10,FALSE))</f>
        <v/>
      </c>
    </row>
    <row r="22" spans="1:200" ht="15" customHeight="1">
      <c r="A22" s="917"/>
      <c r="B22" s="917"/>
      <c r="C22" s="917"/>
      <c r="D22" s="917"/>
      <c r="E22" s="917"/>
      <c r="F22" s="915"/>
      <c r="G22" s="915"/>
      <c r="H22" s="915"/>
      <c r="I22" s="915"/>
      <c r="J22" s="1053" t="s">
        <v>281</v>
      </c>
      <c r="K22" s="915"/>
      <c r="L22" s="915"/>
      <c r="M22" s="915"/>
      <c r="O22">
        <f>IF(S22="","",AA22)</f>
        <v>14</v>
      </c>
      <c r="P22" s="980"/>
      <c r="Q22" s="983"/>
      <c r="R22" s="167" t="s">
        <v>166</v>
      </c>
      <c r="S22" s="327">
        <v>136</v>
      </c>
      <c r="T22" s="319">
        <v>133</v>
      </c>
      <c r="U22" s="319">
        <v>171</v>
      </c>
      <c r="V22" s="319">
        <v>159</v>
      </c>
      <c r="W22" s="319">
        <v>153</v>
      </c>
      <c r="X22" s="159">
        <f>SUM(S22:W22)</f>
        <v>752</v>
      </c>
      <c r="Y22" s="165">
        <f>MAX(S22:W22)</f>
        <v>171</v>
      </c>
      <c r="Z22" s="317">
        <f>SUM(X22*1000)+Y22+0.36</f>
        <v>752171.36</v>
      </c>
      <c r="AA22" s="320">
        <f>IF(S22="","",RANK(Z22,Z6:Z65,0))</f>
        <v>14</v>
      </c>
      <c r="AB22" s="159"/>
      <c r="AC22" s="986"/>
      <c r="AF22" s="155">
        <f t="shared" si="8"/>
        <v>17</v>
      </c>
      <c r="AG22" s="166" t="str">
        <f>IF(AE6&lt;17,"",VLOOKUP(17,O6:AA65,4,FALSE))</f>
        <v>HÜBNER JIŘÍ</v>
      </c>
      <c r="AH22" s="155">
        <f>IF(AE6&lt;17,"",VLOOKUP(17,O6:AA65,10,FALSE))</f>
        <v>737</v>
      </c>
      <c r="AI22" s="8"/>
      <c r="AK22">
        <f>IF(AO22="","",AW22)</f>
        <v>45</v>
      </c>
      <c r="AL22" s="980"/>
      <c r="AM22" s="983"/>
      <c r="AN22" s="238" t="s">
        <v>154</v>
      </c>
      <c r="AO22" s="327">
        <v>115</v>
      </c>
      <c r="AP22" s="319">
        <v>96</v>
      </c>
      <c r="AQ22" s="319">
        <v>134</v>
      </c>
      <c r="AR22" s="319">
        <v>120</v>
      </c>
      <c r="AS22" s="319">
        <v>131</v>
      </c>
      <c r="AT22" s="159">
        <f>SUM(AO22:AS22)</f>
        <v>596</v>
      </c>
      <c r="AU22" s="165">
        <f>MAX(AO22:AS22)</f>
        <v>134</v>
      </c>
      <c r="AV22" s="317">
        <f>SUM(AT22*1000)+AU22+0.36</f>
        <v>596134.36</v>
      </c>
      <c r="AW22" s="320">
        <f>IF(AO22="","",RANK(AV22,AV6:AV65,0))</f>
        <v>45</v>
      </c>
      <c r="AX22" s="159"/>
      <c r="AY22" s="986"/>
      <c r="BB22" s="155">
        <f t="shared" si="9"/>
        <v>17</v>
      </c>
      <c r="BC22" s="166" t="str">
        <f>IF(BA6&lt;17,"",VLOOKUP(17,AK6:AW65,4,FALSE))</f>
        <v>ŠAFÁŘ BOHUMIL</v>
      </c>
      <c r="BD22" s="155">
        <f>IF(BA6&lt;17,"",VLOOKUP(17,AK6:AW65,10,FALSE))</f>
        <v>751</v>
      </c>
      <c r="BE22" s="8"/>
      <c r="BG22">
        <f>IF(BK22="","",BS22)</f>
        <v>27</v>
      </c>
      <c r="BH22" s="980"/>
      <c r="BI22" s="983"/>
      <c r="BJ22" s="258" t="s">
        <v>246</v>
      </c>
      <c r="BK22" s="344">
        <v>125</v>
      </c>
      <c r="BL22" s="345">
        <v>136</v>
      </c>
      <c r="BM22" s="345">
        <v>104</v>
      </c>
      <c r="BN22" s="345">
        <v>145</v>
      </c>
      <c r="BO22" s="345">
        <v>189</v>
      </c>
      <c r="BP22" s="159">
        <f>SUM(BK22:BO22)</f>
        <v>699</v>
      </c>
      <c r="BQ22" s="165">
        <f>MAX(BK22:BO22)</f>
        <v>189</v>
      </c>
      <c r="BR22" s="317">
        <f>SUM(BP22*1000)+BQ22+0.36</f>
        <v>699189.36</v>
      </c>
      <c r="BS22" s="320">
        <f>IF(BK22="","",RANK(BR22,BR6:BR65,0))</f>
        <v>27</v>
      </c>
      <c r="BT22" s="159"/>
      <c r="BU22" s="250"/>
      <c r="BV22" s="250"/>
      <c r="BW22" s="986"/>
      <c r="BZ22" s="155">
        <f t="shared" si="10"/>
        <v>17</v>
      </c>
      <c r="CA22" s="166" t="str">
        <f>IF(BY6&lt;17,"",VLOOKUP(17,BG6:BS65,4,FALSE))</f>
        <v>KRUPA JOZEF</v>
      </c>
      <c r="CB22" s="155">
        <f>IF(BY6&lt;17,"",VLOOKUP(17,BG6:BS65,10,FALSE))</f>
        <v>760</v>
      </c>
      <c r="CC22" s="8"/>
      <c r="CE22">
        <f>IF(CI22="","",CQ22)</f>
        <v>18</v>
      </c>
      <c r="CF22" s="980"/>
      <c r="CG22" s="983"/>
      <c r="CH22" s="275" t="s">
        <v>239</v>
      </c>
      <c r="CI22" s="327">
        <v>124</v>
      </c>
      <c r="CJ22" s="327">
        <v>137</v>
      </c>
      <c r="CK22" s="327">
        <v>146</v>
      </c>
      <c r="CL22" s="327">
        <v>173</v>
      </c>
      <c r="CM22" s="327">
        <v>145</v>
      </c>
      <c r="CN22" s="159">
        <f>SUM(CI22:CM22)</f>
        <v>725</v>
      </c>
      <c r="CO22" s="165">
        <f>MAX(CI22:CM22)</f>
        <v>173</v>
      </c>
      <c r="CP22" s="317">
        <f>SUM(CN22*1000)+CO22+0.36</f>
        <v>725173.36</v>
      </c>
      <c r="CQ22" s="320">
        <f>IF(CI22="","",RANK(CP22,CP6:CP65,0))</f>
        <v>18</v>
      </c>
      <c r="CR22" s="159"/>
      <c r="CS22" s="250"/>
      <c r="CT22" s="250"/>
      <c r="CU22" s="986"/>
      <c r="CX22" s="155">
        <f t="shared" si="11"/>
        <v>17</v>
      </c>
      <c r="CY22" s="166" t="str">
        <f>IF(CW6&lt;17,"",VLOOKUP(17,CE6:CQ65,4,FALSE))</f>
        <v>HÜBNER JIŘÍ</v>
      </c>
      <c r="CZ22" s="155">
        <f>IF(CW6&lt;17,"",VLOOKUP(17,CE6:CQ65,10,FALSE))</f>
        <v>725</v>
      </c>
      <c r="DA22" s="8"/>
      <c r="DC22">
        <f>IF(DG22="","",DO22)</f>
        <v>12</v>
      </c>
      <c r="DD22" s="980"/>
      <c r="DE22" s="989"/>
      <c r="DF22" s="536" t="s">
        <v>222</v>
      </c>
      <c r="DG22" s="347">
        <v>121</v>
      </c>
      <c r="DH22" s="347">
        <v>154</v>
      </c>
      <c r="DI22" s="347">
        <v>159</v>
      </c>
      <c r="DJ22" s="347">
        <v>181</v>
      </c>
      <c r="DK22" s="347">
        <v>179</v>
      </c>
      <c r="DL22" s="159">
        <f>SUM(DG22:DK22)</f>
        <v>794</v>
      </c>
      <c r="DM22" s="165">
        <f>MAX(DG22:DK22)</f>
        <v>181</v>
      </c>
      <c r="DN22" s="317">
        <f>SUM(DL22*1000)+DM22+0.36</f>
        <v>794181.36</v>
      </c>
      <c r="DO22" s="320">
        <f>IF(DG22="","",RANK(DN22,DN6:DN65,0))</f>
        <v>12</v>
      </c>
      <c r="DP22" s="159"/>
      <c r="DQ22" s="250"/>
      <c r="DR22" s="250"/>
      <c r="DS22" s="986"/>
      <c r="DV22" s="155">
        <f t="shared" si="12"/>
        <v>17</v>
      </c>
      <c r="DW22" s="166" t="str">
        <f>IF(DU6&lt;17,"",VLOOKUP(17,DC6:DO65,4,FALSE))</f>
        <v>Pecka Jiří</v>
      </c>
      <c r="DX22" s="155">
        <f>IF(DU6&lt;17,"",VLOOKUP(17,DC6:DO65,10,FALSE))</f>
        <v>751</v>
      </c>
      <c r="DY22" s="8"/>
      <c r="EA22">
        <f>IF(EE22="","",EM22)</f>
        <v>15</v>
      </c>
      <c r="EB22" s="980"/>
      <c r="EC22" s="1003"/>
      <c r="ED22" s="632" t="s">
        <v>5</v>
      </c>
      <c r="EE22" s="636">
        <v>146</v>
      </c>
      <c r="EF22" s="637">
        <v>192</v>
      </c>
      <c r="EG22" s="637">
        <v>147</v>
      </c>
      <c r="EH22" s="637">
        <v>127</v>
      </c>
      <c r="EI22" s="637">
        <v>150</v>
      </c>
      <c r="EJ22" s="633">
        <f>SUM(EE22:EI22)</f>
        <v>762</v>
      </c>
      <c r="EK22" s="165">
        <f>MAX(EE22:EI22)</f>
        <v>192</v>
      </c>
      <c r="EL22" s="317">
        <f>SUM(EJ22*1000)+EK22+0.36</f>
        <v>762192.36</v>
      </c>
      <c r="EM22" s="320">
        <f>IF(EE22="","",RANK(EL22,EL6:EL65,0))</f>
        <v>15</v>
      </c>
      <c r="EN22" s="159"/>
      <c r="EO22" s="250"/>
      <c r="EP22" s="250"/>
      <c r="EQ22" s="992"/>
      <c r="ET22" s="155">
        <f t="shared" si="13"/>
        <v>17</v>
      </c>
      <c r="EU22" s="166" t="str">
        <f>IF(ES6&lt;17,"",VLOOKUP(17,EA6:EM65,4,FALSE))</f>
        <v>Berger Michal</v>
      </c>
      <c r="EV22" s="155">
        <f>IF(ES6&lt;17,"",VLOOKUP(17,EA6:EM65,10,FALSE))</f>
        <v>730</v>
      </c>
      <c r="EW22" s="8"/>
      <c r="EX22" s="8"/>
      <c r="EY22">
        <f>IF(FC22="","",FK22)</f>
        <v>19</v>
      </c>
      <c r="EZ22" s="1062"/>
      <c r="FA22" s="1065"/>
      <c r="FB22" s="780" t="s">
        <v>225</v>
      </c>
      <c r="FC22" s="695">
        <v>162</v>
      </c>
      <c r="FD22" s="695">
        <v>146</v>
      </c>
      <c r="FE22" s="695">
        <v>143</v>
      </c>
      <c r="FF22" s="695">
        <v>148</v>
      </c>
      <c r="FG22" s="695">
        <v>156</v>
      </c>
      <c r="FH22" s="696">
        <f>SUM(FC22:FG22)</f>
        <v>755</v>
      </c>
      <c r="FI22" s="697">
        <f>MAX(FC22:FG22)</f>
        <v>162</v>
      </c>
      <c r="FJ22" s="698">
        <f>SUM(FH22*1000)+FI22+0.36</f>
        <v>755162.36</v>
      </c>
      <c r="FK22" s="699">
        <f>IF(FC22="","",RANK(FJ22,FJ6:FJ65,0))</f>
        <v>19</v>
      </c>
      <c r="FL22" s="696"/>
      <c r="FM22" s="694"/>
      <c r="FN22" s="694"/>
      <c r="FO22" s="1056"/>
      <c r="FP22" s="8"/>
      <c r="FQ22" s="804"/>
      <c r="FR22" s="811">
        <f t="shared" si="14"/>
        <v>17</v>
      </c>
      <c r="FS22" s="809" t="str">
        <f>IF(FQ6&lt;17,"",VLOOKUP(17,EY6:FL65,4,FALSE))</f>
        <v>Kalfiřt Petr</v>
      </c>
      <c r="FT22" s="808">
        <f>IF(FQ6&lt;17,"",VLOOKUP(17,EY6:FL65,10,FALSE))</f>
        <v>761</v>
      </c>
      <c r="FU22" s="8"/>
      <c r="FW22" t="str">
        <f>IF(GA22="","",GI22)</f>
        <v/>
      </c>
      <c r="FX22" s="980"/>
      <c r="FY22" s="983"/>
      <c r="FZ22" s="160"/>
      <c r="GA22" s="347"/>
      <c r="GB22" s="347"/>
      <c r="GC22" s="347"/>
      <c r="GD22" s="347"/>
      <c r="GE22" s="347"/>
      <c r="GF22" s="159">
        <f>SUM(GA22:GE22)</f>
        <v>0</v>
      </c>
      <c r="GG22" s="165">
        <f>MAX(GA22:GE22)</f>
        <v>0</v>
      </c>
      <c r="GH22" s="317">
        <f>SUM(GF22*1000)+GG22+0.36</f>
        <v>0.36</v>
      </c>
      <c r="GI22" s="320" t="str">
        <f>IF(GA22="","",RANK(GH22,GH6:GH70,0))</f>
        <v/>
      </c>
      <c r="GJ22" s="159"/>
      <c r="GK22" s="250"/>
      <c r="GL22" s="250"/>
      <c r="GM22" s="986"/>
      <c r="GP22" s="155">
        <f t="shared" si="15"/>
        <v>17</v>
      </c>
      <c r="GQ22" s="166" t="str">
        <f>IF(GO6&lt;17,"",VLOOKUP(17,FW6:GI70,4,FALSE))</f>
        <v/>
      </c>
      <c r="GR22" s="155" t="str">
        <f>IF(GO6&lt;17,"",VLOOKUP(17,FW6:GI70,10,FALSE))</f>
        <v/>
      </c>
    </row>
    <row r="23" spans="1:200" ht="15" customHeight="1">
      <c r="A23" s="917"/>
      <c r="B23" s="1013" t="s">
        <v>164</v>
      </c>
      <c r="C23" s="1014"/>
      <c r="D23" s="917"/>
      <c r="E23" s="917"/>
      <c r="F23" s="915"/>
      <c r="G23" s="915"/>
      <c r="H23" s="915"/>
      <c r="I23" s="915"/>
      <c r="J23" s="1054"/>
      <c r="K23" s="915"/>
      <c r="L23" s="915"/>
      <c r="M23" s="915"/>
      <c r="P23" s="981"/>
      <c r="Q23" s="984"/>
      <c r="R23" s="162"/>
      <c r="S23" s="321">
        <f>SUM(S18:S22)</f>
        <v>729</v>
      </c>
      <c r="T23" s="321">
        <f>SUM(T18:T22)</f>
        <v>754</v>
      </c>
      <c r="U23" s="321">
        <f>SUM(U18:U22)</f>
        <v>776</v>
      </c>
      <c r="V23" s="321">
        <f>SUM(V18:V22)</f>
        <v>912</v>
      </c>
      <c r="W23" s="321">
        <f>SUM(W18:W22)</f>
        <v>834</v>
      </c>
      <c r="X23" s="330"/>
      <c r="Y23" s="330"/>
      <c r="Z23" s="330"/>
      <c r="AA23" s="322"/>
      <c r="AB23" s="323">
        <f>SUM(S23:W23)</f>
        <v>4005</v>
      </c>
      <c r="AC23" s="987"/>
      <c r="AF23" s="155">
        <f t="shared" si="8"/>
        <v>18</v>
      </c>
      <c r="AG23" s="166" t="str">
        <f>IF(AE6&lt;18,"",VLOOKUP(18,O6:AA65,4,FALSE))</f>
        <v>JELÍNEK JAN</v>
      </c>
      <c r="AH23" s="155">
        <f>IF(AE6&lt;18,"",VLOOKUP(18,O6:AA65,10,FALSE))</f>
        <v>727</v>
      </c>
      <c r="AI23" s="8"/>
      <c r="AL23" s="981"/>
      <c r="AM23" s="984"/>
      <c r="AN23" s="169"/>
      <c r="AO23" s="340">
        <f>SUM(AO18:AO22)</f>
        <v>658</v>
      </c>
      <c r="AP23" s="340">
        <f>SUM(AP18:AP22)</f>
        <v>523</v>
      </c>
      <c r="AQ23" s="340">
        <f>SUM(AQ18:AQ22)</f>
        <v>583</v>
      </c>
      <c r="AR23" s="340">
        <f>SUM(AR18:AR22)</f>
        <v>645</v>
      </c>
      <c r="AS23" s="340">
        <f>SUM(AS18:AS22)</f>
        <v>644</v>
      </c>
      <c r="AT23" s="330"/>
      <c r="AU23" s="330"/>
      <c r="AV23" s="330"/>
      <c r="AW23" s="322"/>
      <c r="AX23" s="323">
        <f>SUM(AO23:AS23)</f>
        <v>3053</v>
      </c>
      <c r="AY23" s="987"/>
      <c r="BB23" s="155">
        <f t="shared" si="9"/>
        <v>18</v>
      </c>
      <c r="BC23" s="166" t="str">
        <f>IF(BA6&lt;18,"",VLOOKUP(18,AK6:AW65,4,FALSE))</f>
        <v>SKRUŽNÁ PAVLA</v>
      </c>
      <c r="BD23" s="155">
        <f>IF(BA6&lt;18,"",VLOOKUP(18,AK6:AW65,10,FALSE))</f>
        <v>738</v>
      </c>
      <c r="BE23" s="8"/>
      <c r="BH23" s="981"/>
      <c r="BI23" s="984"/>
      <c r="BJ23" s="169"/>
      <c r="BK23" s="340">
        <f>SUM(BK18:BK22)</f>
        <v>685</v>
      </c>
      <c r="BL23" s="340">
        <f>SUM(BL18:BL22)</f>
        <v>736</v>
      </c>
      <c r="BM23" s="340">
        <f>SUM(BM18:BM22)</f>
        <v>768</v>
      </c>
      <c r="BN23" s="340">
        <f>SUM(BN18:BN22)</f>
        <v>791</v>
      </c>
      <c r="BO23" s="340">
        <f>SUM(BO18:BO22)</f>
        <v>814</v>
      </c>
      <c r="BP23" s="330"/>
      <c r="BQ23" s="330"/>
      <c r="BR23" s="330"/>
      <c r="BS23" s="322"/>
      <c r="BT23" s="323">
        <f>SUM(BK23:BO23)</f>
        <v>3794</v>
      </c>
      <c r="BU23" s="163">
        <f>MAX(BK23:BO23)</f>
        <v>814</v>
      </c>
      <c r="BV23" s="163">
        <f>IF(BK18="","",SUM(BT23*10000)+BU23)</f>
        <v>37940814</v>
      </c>
      <c r="BW23" s="987"/>
      <c r="BZ23" s="155">
        <f t="shared" si="10"/>
        <v>18</v>
      </c>
      <c r="CA23" s="166" t="str">
        <f>IF(BY6&lt;18,"",VLOOKUP(18,BG6:BS65,4,FALSE))</f>
        <v>KROČIL TOMÁŠ</v>
      </c>
      <c r="CB23" s="155">
        <f>IF(BY6&lt;18,"",VLOOKUP(18,BG6:BS65,10,FALSE))</f>
        <v>742</v>
      </c>
      <c r="CC23" s="8"/>
      <c r="CF23" s="981"/>
      <c r="CG23" s="984"/>
      <c r="CH23" s="169"/>
      <c r="CI23" s="340">
        <f>SUM(CI18:CI22)</f>
        <v>857</v>
      </c>
      <c r="CJ23" s="340">
        <f>SUM(CJ18:CJ22)</f>
        <v>763</v>
      </c>
      <c r="CK23" s="340">
        <f>SUM(CK18:CK22)</f>
        <v>790</v>
      </c>
      <c r="CL23" s="340">
        <f>SUM(CL18:CL22)</f>
        <v>764</v>
      </c>
      <c r="CM23" s="340">
        <f>SUM(CM18:CM22)</f>
        <v>673</v>
      </c>
      <c r="CN23" s="330"/>
      <c r="CO23" s="330"/>
      <c r="CP23" s="330"/>
      <c r="CQ23" s="322"/>
      <c r="CR23" s="323">
        <f>SUM(CI23:CM23)</f>
        <v>3847</v>
      </c>
      <c r="CS23" s="163">
        <f>MAX(CI23:CM23)</f>
        <v>857</v>
      </c>
      <c r="CT23" s="163">
        <f>IF(CI18="","",SUM(CR23*1000)+CS23)</f>
        <v>3847857</v>
      </c>
      <c r="CU23" s="987"/>
      <c r="CX23" s="155">
        <f t="shared" si="11"/>
        <v>18</v>
      </c>
      <c r="CY23" s="166" t="str">
        <f>IF(CW6&lt;18,"",VLOOKUP(18,CE6:CQ65,4,FALSE))</f>
        <v>KRUPOVÁ MARTINA</v>
      </c>
      <c r="CZ23" s="155">
        <f>IF(CW6&lt;18,"",VLOOKUP(18,CE6:CQ65,10,FALSE))</f>
        <v>725</v>
      </c>
      <c r="DA23" s="8"/>
      <c r="DD23" s="981"/>
      <c r="DE23" s="990"/>
      <c r="DF23" s="169"/>
      <c r="DG23" s="340">
        <f>SUM(DG18:DG22)</f>
        <v>712</v>
      </c>
      <c r="DH23" s="340">
        <f>SUM(DH18:DH22)</f>
        <v>724</v>
      </c>
      <c r="DI23" s="340">
        <f>SUM(DI18:DI22)</f>
        <v>773</v>
      </c>
      <c r="DJ23" s="340">
        <f>SUM(DJ18:DJ22)</f>
        <v>746</v>
      </c>
      <c r="DK23" s="340">
        <f>SUM(DK18:DK22)</f>
        <v>824</v>
      </c>
      <c r="DL23" s="330"/>
      <c r="DM23" s="330"/>
      <c r="DN23" s="330"/>
      <c r="DO23" s="322"/>
      <c r="DP23" s="323">
        <f>SUM(DG23:DK23)</f>
        <v>3779</v>
      </c>
      <c r="DQ23" s="163">
        <f>MAX(DG23:DK23)</f>
        <v>824</v>
      </c>
      <c r="DR23" s="163">
        <f>IF(DG18="","",SUM(DP23*1000)+DQ23)</f>
        <v>3779824</v>
      </c>
      <c r="DS23" s="987"/>
      <c r="DV23" s="155">
        <f t="shared" si="12"/>
        <v>18</v>
      </c>
      <c r="DW23" s="166" t="str">
        <f>IF(DU6&lt;18,"",VLOOKUP(18,DC6:DO65,4,FALSE))</f>
        <v>Tomášek Zdenek</v>
      </c>
      <c r="DX23" s="155">
        <f>IF(DU6&lt;18,"",VLOOKUP(18,DC6:DO65,10,FALSE))</f>
        <v>725</v>
      </c>
      <c r="DY23" s="8"/>
      <c r="EB23" s="981"/>
      <c r="EC23" s="1004"/>
      <c r="ED23" s="169"/>
      <c r="EE23" s="321">
        <f>SUM(EE18:EE22)</f>
        <v>699</v>
      </c>
      <c r="EF23" s="321">
        <f>SUM(EF18:EF22)</f>
        <v>787</v>
      </c>
      <c r="EG23" s="321">
        <f>SUM(EG18:EG22)</f>
        <v>654</v>
      </c>
      <c r="EH23" s="321">
        <f>SUM(EH18:EH22)</f>
        <v>705</v>
      </c>
      <c r="EI23" s="321">
        <f>SUM(EI18:EI22)</f>
        <v>788</v>
      </c>
      <c r="EJ23" s="330"/>
      <c r="EK23" s="330"/>
      <c r="EL23" s="330"/>
      <c r="EM23" s="322"/>
      <c r="EN23" s="323">
        <f>SUM(EE23:EI23)</f>
        <v>3633</v>
      </c>
      <c r="EO23" s="163">
        <f>MAX(EE23:EI23)</f>
        <v>788</v>
      </c>
      <c r="EP23" s="163">
        <f>IF(EE18="","",SUM(EN23*1000)+EO23)</f>
        <v>3633788</v>
      </c>
      <c r="EQ23" s="993"/>
      <c r="ET23" s="155">
        <f t="shared" si="13"/>
        <v>18</v>
      </c>
      <c r="EU23" s="166" t="str">
        <f>IF(ES6&lt;18,"",VLOOKUP(18,EA6:EM65,4,FALSE))</f>
        <v>Kročil Tomáš</v>
      </c>
      <c r="EV23" s="155">
        <f>IF(ES6&lt;18,"",VLOOKUP(18,EA6:EM65,10,FALSE))</f>
        <v>728</v>
      </c>
      <c r="EW23" s="8"/>
      <c r="EX23" s="8"/>
      <c r="EZ23" s="1063"/>
      <c r="FA23" s="1066"/>
      <c r="FB23" s="768"/>
      <c r="FC23" s="763">
        <f>SUM(FC18:FC22)</f>
        <v>663</v>
      </c>
      <c r="FD23" s="764">
        <f>SUM(FD18:FD22)</f>
        <v>697</v>
      </c>
      <c r="FE23" s="763">
        <f>SUM(FE18:FE22)</f>
        <v>650</v>
      </c>
      <c r="FF23" s="763">
        <f>SUM(FF18:FF22)</f>
        <v>621</v>
      </c>
      <c r="FG23" s="764">
        <f>SUM(FG18:FG22)</f>
        <v>640</v>
      </c>
      <c r="FH23" s="763"/>
      <c r="FI23" s="764"/>
      <c r="FJ23" s="764"/>
      <c r="FK23" s="766"/>
      <c r="FL23" s="769">
        <f>SUM(FC23:FG23)</f>
        <v>3271</v>
      </c>
      <c r="FM23" s="770">
        <f>MAX(FC23:FG23)</f>
        <v>697</v>
      </c>
      <c r="FN23" s="770">
        <f>IF(FC18="","",SUM(FL23*1000)+FM23)</f>
        <v>3271697</v>
      </c>
      <c r="FO23" s="1056"/>
      <c r="FP23" s="8"/>
      <c r="FQ23" s="804"/>
      <c r="FR23" s="811">
        <f t="shared" si="14"/>
        <v>18</v>
      </c>
      <c r="FS23" s="809" t="str">
        <f>IF(FQ6&lt;18,"",VLOOKUP(18,EY6:FL65,4,FALSE))</f>
        <v>Podhola Martin</v>
      </c>
      <c r="FT23" s="808">
        <f>IF(FQ6&lt;18,"",VLOOKUP(18,EY6:FL65,10,FALSE))</f>
        <v>757</v>
      </c>
      <c r="FU23" s="8"/>
      <c r="FX23" s="981"/>
      <c r="FY23" s="984"/>
      <c r="FZ23" s="169"/>
      <c r="GA23" s="340">
        <f>SUM(GA18:GA22)</f>
        <v>3</v>
      </c>
      <c r="GB23" s="340">
        <f>SUM(GB18:GB22)</f>
        <v>0</v>
      </c>
      <c r="GC23" s="340">
        <f>SUM(GC18:GC22)</f>
        <v>0</v>
      </c>
      <c r="GD23" s="340">
        <f>SUM(GD18:GD22)</f>
        <v>0</v>
      </c>
      <c r="GE23" s="340">
        <f>SUM(GE18:GE22)</f>
        <v>0</v>
      </c>
      <c r="GF23" s="330"/>
      <c r="GG23" s="330"/>
      <c r="GH23" s="330"/>
      <c r="GI23" s="322"/>
      <c r="GJ23" s="323">
        <f>SUM(GA23:GE23)</f>
        <v>3</v>
      </c>
      <c r="GK23" s="163">
        <f>MAX(GA23:GE23)</f>
        <v>3</v>
      </c>
      <c r="GL23" s="163">
        <f>IF(GA18="","",SUM(GJ23*1000)+GK23)</f>
        <v>3003</v>
      </c>
      <c r="GM23" s="987"/>
      <c r="GP23" s="155">
        <f t="shared" si="15"/>
        <v>18</v>
      </c>
      <c r="GQ23" s="166" t="str">
        <f>IF(GO6&lt;18,"",VLOOKUP(18,FW6:GI70,4,FALSE))</f>
        <v/>
      </c>
      <c r="GR23" s="155" t="str">
        <f>IF(GO6&lt;18,"",VLOOKUP(18,FW6:GI70,10,FALSE))</f>
        <v/>
      </c>
    </row>
    <row r="24" spans="1:200" ht="15" customHeight="1">
      <c r="A24" s="917"/>
      <c r="B24" s="1015"/>
      <c r="C24" s="1016"/>
      <c r="D24" s="917"/>
      <c r="E24" s="917"/>
      <c r="F24" s="915"/>
      <c r="G24" s="915"/>
      <c r="H24" s="915"/>
      <c r="I24" s="915"/>
      <c r="J24" s="915"/>
      <c r="K24" s="915"/>
      <c r="L24" s="915"/>
      <c r="M24" s="915"/>
      <c r="O24">
        <f>IF(S24="","",AA24)</f>
        <v>33</v>
      </c>
      <c r="P24" s="979">
        <v>4</v>
      </c>
      <c r="Q24" s="982" t="s">
        <v>167</v>
      </c>
      <c r="R24" s="164" t="s">
        <v>168</v>
      </c>
      <c r="S24" s="324">
        <v>103</v>
      </c>
      <c r="T24" s="325">
        <v>134</v>
      </c>
      <c r="U24" s="325">
        <v>169</v>
      </c>
      <c r="V24" s="325">
        <v>115</v>
      </c>
      <c r="W24" s="325">
        <v>115</v>
      </c>
      <c r="X24" s="165">
        <f>SUM(S24:W24)</f>
        <v>636</v>
      </c>
      <c r="Y24" s="165">
        <f>MAX(S24:W24)</f>
        <v>169</v>
      </c>
      <c r="Z24" s="317">
        <f>SUM(X24*1000)+Y24+0.35</f>
        <v>636169.35</v>
      </c>
      <c r="AA24" s="318">
        <f>IF(S24="","",RANK(Z24,Z6:Z65,0))</f>
        <v>33</v>
      </c>
      <c r="AB24" s="165"/>
      <c r="AC24" s="985">
        <f>RANK(AB29,AB11:AB65,0)</f>
        <v>7</v>
      </c>
      <c r="AF24" s="155">
        <f t="shared" si="8"/>
        <v>19</v>
      </c>
      <c r="AG24" s="166" t="str">
        <f>IF(AE6&lt;19,"",VLOOKUP(19,O6:AA65,4,FALSE))</f>
        <v>SLADOVNÍK MILOSLAV</v>
      </c>
      <c r="AH24" s="155">
        <f>IF(AE6&lt;19,"",VLOOKUP(19,O6:AA65,10,FALSE))</f>
        <v>720</v>
      </c>
      <c r="AI24" s="8"/>
      <c r="AK24">
        <f>IF(AO24="","",AW24)</f>
        <v>23</v>
      </c>
      <c r="AL24" s="979">
        <v>4</v>
      </c>
      <c r="AM24" s="982" t="s">
        <v>150</v>
      </c>
      <c r="AN24" s="236" t="s">
        <v>155</v>
      </c>
      <c r="AO24" s="338">
        <v>154</v>
      </c>
      <c r="AP24" s="316">
        <v>149</v>
      </c>
      <c r="AQ24" s="316">
        <v>143</v>
      </c>
      <c r="AR24" s="316">
        <v>134</v>
      </c>
      <c r="AS24" s="316">
        <v>121</v>
      </c>
      <c r="AT24" s="165">
        <f>SUM(AO24:AS24)</f>
        <v>701</v>
      </c>
      <c r="AU24" s="165">
        <f>MAX(AO24:AS24)</f>
        <v>154</v>
      </c>
      <c r="AV24" s="317">
        <f>SUM(AT24*1000)+AU24+0.35</f>
        <v>701154.35</v>
      </c>
      <c r="AW24" s="318">
        <f>IF(AO24="","",RANK(AV24,AV6:AV65,0))</f>
        <v>23</v>
      </c>
      <c r="AX24" s="165"/>
      <c r="AY24" s="985">
        <f>RANK(AX29,AX11:AX65,0)</f>
        <v>2</v>
      </c>
      <c r="BB24" s="155">
        <f t="shared" si="9"/>
        <v>19</v>
      </c>
      <c r="BC24" s="166" t="str">
        <f>IF(BA6&lt;19,"",VLOOKUP(19,AK6:AW65,4,FALSE))</f>
        <v>TOMÁŠEK ZDENĚK</v>
      </c>
      <c r="BD24" s="155">
        <f>IF(BA6&lt;19,"",VLOOKUP(19,AK6:AW65,10,FALSE))</f>
        <v>728</v>
      </c>
      <c r="BE24" s="8"/>
      <c r="BG24">
        <f>IF(BK24="","",BS24)</f>
        <v>30</v>
      </c>
      <c r="BH24" s="979">
        <v>4</v>
      </c>
      <c r="BI24" s="982" t="s">
        <v>203</v>
      </c>
      <c r="BJ24" s="259" t="s">
        <v>206</v>
      </c>
      <c r="BK24" s="342">
        <v>136</v>
      </c>
      <c r="BL24" s="343">
        <v>140</v>
      </c>
      <c r="BM24" s="343">
        <v>123</v>
      </c>
      <c r="BN24" s="343">
        <v>135</v>
      </c>
      <c r="BO24" s="343">
        <v>147</v>
      </c>
      <c r="BP24" s="165">
        <f>SUM(BK24:BO24)</f>
        <v>681</v>
      </c>
      <c r="BQ24" s="165">
        <f>MAX(BK24:BO24)</f>
        <v>147</v>
      </c>
      <c r="BR24" s="317">
        <f>SUM(BP24*1000)+BQ24+0.35</f>
        <v>681147.35</v>
      </c>
      <c r="BS24" s="318">
        <f>IF(BK24="","",RANK(BR24,BR6:BR65,0))</f>
        <v>30</v>
      </c>
      <c r="BT24" s="165"/>
      <c r="BU24" s="249"/>
      <c r="BV24" s="249"/>
      <c r="BW24" s="985">
        <f>IF(BK24="","",RANK(BV29,BV11:BV65,0))</f>
        <v>10</v>
      </c>
      <c r="BZ24" s="155">
        <f t="shared" si="10"/>
        <v>19</v>
      </c>
      <c r="CA24" s="166" t="str">
        <f>IF(BY6&lt;19,"",VLOOKUP(19,BG6:BS65,4,FALSE))</f>
        <v>BROŽ STANISLAV</v>
      </c>
      <c r="CB24" s="155">
        <f>IF(BY6&lt;19,"",VLOOKUP(19,BG6:BS65,10,FALSE))</f>
        <v>742</v>
      </c>
      <c r="CC24" s="8"/>
      <c r="CE24">
        <f>IF(CI24="","",CQ24)</f>
        <v>21</v>
      </c>
      <c r="CF24" s="979">
        <v>4</v>
      </c>
      <c r="CG24" s="982" t="s">
        <v>191</v>
      </c>
      <c r="CH24" s="273" t="s">
        <v>192</v>
      </c>
      <c r="CI24" s="324">
        <v>161</v>
      </c>
      <c r="CJ24" s="324">
        <v>137</v>
      </c>
      <c r="CK24" s="324">
        <v>110</v>
      </c>
      <c r="CL24" s="324">
        <v>161</v>
      </c>
      <c r="CM24" s="324">
        <v>136</v>
      </c>
      <c r="CN24" s="165">
        <f>SUM(CI24:CM24)</f>
        <v>705</v>
      </c>
      <c r="CO24" s="165">
        <f>MAX(CI24:CM24)</f>
        <v>161</v>
      </c>
      <c r="CP24" s="317">
        <f>SUM(CN24*1000)+CO24+0.35</f>
        <v>705161.35</v>
      </c>
      <c r="CQ24" s="318">
        <f>IF(CI24="","",RANK(CP24,CP6:CP65,0))</f>
        <v>21</v>
      </c>
      <c r="CR24" s="165"/>
      <c r="CS24" s="249"/>
      <c r="CT24" s="249"/>
      <c r="CU24" s="985">
        <f>IF(CI24="","",RANK(CT29,CT11:CT65,0))</f>
        <v>8</v>
      </c>
      <c r="CX24" s="155">
        <f t="shared" si="11"/>
        <v>19</v>
      </c>
      <c r="CY24" s="166" t="str">
        <f>IF(CW6&lt;19,"",VLOOKUP(19,CE6:CQ65,4,FALSE))</f>
        <v>KUČERA MIROSLAV</v>
      </c>
      <c r="CZ24" s="155">
        <f>IF(CW6&lt;19,"",VLOOKUP(19,CE6:CQ65,10,FALSE))</f>
        <v>724</v>
      </c>
      <c r="DA24" s="8"/>
      <c r="DC24">
        <f>IF(DG24="","",DO24)</f>
        <v>27</v>
      </c>
      <c r="DD24" s="979">
        <v>4</v>
      </c>
      <c r="DE24" s="988" t="s">
        <v>179</v>
      </c>
      <c r="DF24" s="535" t="s">
        <v>226</v>
      </c>
      <c r="DG24" s="346">
        <v>176</v>
      </c>
      <c r="DH24" s="346">
        <v>136</v>
      </c>
      <c r="DI24" s="346">
        <v>115</v>
      </c>
      <c r="DJ24" s="346">
        <v>169</v>
      </c>
      <c r="DK24" s="346">
        <v>105</v>
      </c>
      <c r="DL24" s="165">
        <f>SUM(DG24:DK24)</f>
        <v>701</v>
      </c>
      <c r="DM24" s="165">
        <f>MAX(DG24:DK24)</f>
        <v>176</v>
      </c>
      <c r="DN24" s="317">
        <f>SUM(DL24*1000)+DM24+0.35</f>
        <v>701176.35</v>
      </c>
      <c r="DO24" s="318">
        <f>IF(DG24="","",RANK(DN24,DN6:DN65,0))</f>
        <v>27</v>
      </c>
      <c r="DP24" s="165"/>
      <c r="DQ24" s="249"/>
      <c r="DR24" s="249"/>
      <c r="DS24" s="985">
        <f>IF(DG24="","",RANK(DR29,DR11:DR65,0))</f>
        <v>6</v>
      </c>
      <c r="DV24" s="155">
        <f t="shared" si="12"/>
        <v>19</v>
      </c>
      <c r="DW24" s="166" t="str">
        <f>IF(DU6&lt;19,"",VLOOKUP(19,DC6:DO65,4,FALSE))</f>
        <v>Bošek Jan</v>
      </c>
      <c r="DX24" s="155">
        <f>IF(DU6&lt;19,"",VLOOKUP(19,DC6:DO65,10,FALSE))</f>
        <v>723</v>
      </c>
      <c r="DY24" s="8"/>
      <c r="EA24">
        <f>IF(EE24="","",EM24)</f>
        <v>38</v>
      </c>
      <c r="EB24" s="979">
        <v>4</v>
      </c>
      <c r="EC24" s="1005" t="s">
        <v>167</v>
      </c>
      <c r="ED24" s="625" t="s">
        <v>291</v>
      </c>
      <c r="EE24" s="634">
        <v>149</v>
      </c>
      <c r="EF24" s="635">
        <v>126</v>
      </c>
      <c r="EG24" s="635">
        <v>131</v>
      </c>
      <c r="EH24" s="635">
        <v>80</v>
      </c>
      <c r="EI24" s="635">
        <v>141</v>
      </c>
      <c r="EJ24" s="631">
        <f>SUM(EE24:EI24)</f>
        <v>627</v>
      </c>
      <c r="EK24" s="165">
        <f>MAX(EE24:EI24)</f>
        <v>149</v>
      </c>
      <c r="EL24" s="317">
        <f>SUM(EJ24*1000)+EK24+0.35</f>
        <v>627149.35</v>
      </c>
      <c r="EM24" s="318">
        <f>IF(EE24="","",RANK(EL24,EL6:EL65,0))</f>
        <v>38</v>
      </c>
      <c r="EN24" s="165"/>
      <c r="EO24" s="249"/>
      <c r="EP24" s="249"/>
      <c r="EQ24" s="1006">
        <f>IF(EE24="","",RANK(EP29,EP11:EP65,0))</f>
        <v>6</v>
      </c>
      <c r="ET24" s="155">
        <f t="shared" si="13"/>
        <v>19</v>
      </c>
      <c r="EU24" s="166" t="str">
        <f>IF(ES6&lt;19,"",VLOOKUP(19,EA6:EM65,4,FALSE))</f>
        <v>Brož Stanislav</v>
      </c>
      <c r="EV24" s="155">
        <f>IF(ES6&lt;19,"",VLOOKUP(19,EA6:EM65,10,FALSE))</f>
        <v>723</v>
      </c>
      <c r="EW24" s="8"/>
      <c r="EX24" s="8"/>
      <c r="EY24">
        <f>IF(FC24="","",FK24)</f>
        <v>5</v>
      </c>
      <c r="EZ24" s="1067">
        <v>4</v>
      </c>
      <c r="FA24" s="1068" t="s">
        <v>150</v>
      </c>
      <c r="FB24" s="778" t="s">
        <v>223</v>
      </c>
      <c r="FC24" s="785">
        <v>161</v>
      </c>
      <c r="FD24" s="785">
        <v>210</v>
      </c>
      <c r="FE24" s="785">
        <v>158</v>
      </c>
      <c r="FF24" s="785">
        <v>174</v>
      </c>
      <c r="FG24" s="785">
        <v>147</v>
      </c>
      <c r="FH24" s="620">
        <f>SUM(FC24:FG24)</f>
        <v>850</v>
      </c>
      <c r="FI24" s="620">
        <f>MAX(FC24:FG24)</f>
        <v>210</v>
      </c>
      <c r="FJ24" s="689">
        <f>SUM(FH24*1000)+FI24+0.35</f>
        <v>850210.35</v>
      </c>
      <c r="FK24" s="690">
        <f>IF(FC24="","",RANK(FJ24,FJ6:FJ65,0))</f>
        <v>5</v>
      </c>
      <c r="FL24" s="620"/>
      <c r="FM24" s="691"/>
      <c r="FN24" s="691"/>
      <c r="FO24" s="1056">
        <f>IF(FC24="","",RANK(FN29,FN11:FN65,0))</f>
        <v>1</v>
      </c>
      <c r="FP24" s="8"/>
      <c r="FQ24" s="804"/>
      <c r="FR24" s="811">
        <f t="shared" si="14"/>
        <v>19</v>
      </c>
      <c r="FS24" s="809" t="str">
        <f>IF(FQ6&lt;19,"",VLOOKUP(19,EY6:FL65,4,FALSE))</f>
        <v>Sladovník Miloslav</v>
      </c>
      <c r="FT24" s="808">
        <f>IF(FQ6&lt;19,"",VLOOKUP(19,EY6:FL65,10,FALSE))</f>
        <v>755</v>
      </c>
      <c r="FU24" s="8"/>
      <c r="FW24" t="str">
        <f>IF(GA24="","",GI24)</f>
        <v/>
      </c>
      <c r="FX24" s="979">
        <v>4</v>
      </c>
      <c r="FY24" s="982" t="s">
        <v>167</v>
      </c>
      <c r="FZ24" s="157"/>
      <c r="GA24" s="346"/>
      <c r="GB24" s="346"/>
      <c r="GC24" s="346"/>
      <c r="GD24" s="346"/>
      <c r="GE24" s="346"/>
      <c r="GF24" s="165">
        <f>SUM(GA24:GE24)</f>
        <v>0</v>
      </c>
      <c r="GG24" s="165">
        <f>MAX(GA24:GE24)</f>
        <v>0</v>
      </c>
      <c r="GH24" s="317">
        <f>SUM(GF24*1000)+GG24+0.35</f>
        <v>0.35</v>
      </c>
      <c r="GI24" s="318" t="str">
        <f>IF(GA24="","",RANK(GH24,GH6:GH70,0))</f>
        <v/>
      </c>
      <c r="GJ24" s="165"/>
      <c r="GK24" s="249"/>
      <c r="GL24" s="249"/>
      <c r="GM24" s="985" t="str">
        <f>IF(GA24="","",RANK(GL29,GL11:GL71,0))</f>
        <v/>
      </c>
      <c r="GP24" s="155">
        <f t="shared" si="15"/>
        <v>19</v>
      </c>
      <c r="GQ24" s="166" t="str">
        <f>IF(GO6&lt;19,"",VLOOKUP(19,FW6:GI70,4,FALSE))</f>
        <v/>
      </c>
      <c r="GR24" s="155" t="str">
        <f>IF(GO6&lt;19,"",VLOOKUP(19,FW6:GI70,10,FALSE))</f>
        <v/>
      </c>
    </row>
    <row r="25" spans="1:200" ht="15" customHeight="1">
      <c r="A25" s="917"/>
      <c r="B25" s="917"/>
      <c r="C25" s="917"/>
      <c r="D25" s="917"/>
      <c r="E25" s="917"/>
      <c r="F25" s="915"/>
      <c r="G25" s="915"/>
      <c r="H25" s="915"/>
      <c r="I25" s="915"/>
      <c r="J25" s="915"/>
      <c r="K25" s="915"/>
      <c r="L25" s="915"/>
      <c r="M25" s="915"/>
      <c r="O25">
        <f>IF(S25="","",AA25)</f>
        <v>50</v>
      </c>
      <c r="P25" s="980"/>
      <c r="Q25" s="983"/>
      <c r="R25" s="170" t="s">
        <v>169</v>
      </c>
      <c r="S25" s="327">
        <v>115</v>
      </c>
      <c r="T25" s="319">
        <v>75</v>
      </c>
      <c r="U25" s="319">
        <v>105</v>
      </c>
      <c r="V25" s="319">
        <v>92</v>
      </c>
      <c r="W25" s="319">
        <v>86</v>
      </c>
      <c r="X25" s="159">
        <f>SUM(S25:W25)</f>
        <v>473</v>
      </c>
      <c r="Y25" s="165">
        <f>MAX(S25:W25)</f>
        <v>115</v>
      </c>
      <c r="Z25" s="317">
        <f>SUM(X25*1000)+Y25+0.34</f>
        <v>473115.34</v>
      </c>
      <c r="AA25" s="320">
        <f>IF(S25="","",RANK(Z25,Z6:Z65,0))</f>
        <v>50</v>
      </c>
      <c r="AB25" s="159"/>
      <c r="AC25" s="986"/>
      <c r="AF25" s="155">
        <f t="shared" si="8"/>
        <v>20</v>
      </c>
      <c r="AG25" s="166" t="str">
        <f>IF(AE6&lt;20,"",VLOOKUP(20,O6:AA65,4,FALSE))</f>
        <v>RADOVÁ PETRA</v>
      </c>
      <c r="AH25" s="155">
        <f>IF(AE6&lt;20,"",VLOOKUP(20,O6:AA65,10,FALSE))</f>
        <v>718</v>
      </c>
      <c r="AI25" s="8"/>
      <c r="AK25">
        <f>IF(AO25="","",AW25)</f>
        <v>24</v>
      </c>
      <c r="AL25" s="980"/>
      <c r="AM25" s="983"/>
      <c r="AN25" s="240" t="s">
        <v>143</v>
      </c>
      <c r="AO25" s="327">
        <v>147</v>
      </c>
      <c r="AP25" s="319">
        <v>177</v>
      </c>
      <c r="AQ25" s="319">
        <v>112</v>
      </c>
      <c r="AR25" s="319">
        <v>127</v>
      </c>
      <c r="AS25" s="319">
        <v>130</v>
      </c>
      <c r="AT25" s="159">
        <f>SUM(AO25:AS25)</f>
        <v>693</v>
      </c>
      <c r="AU25" s="165">
        <f>MAX(AO25:AS25)</f>
        <v>177</v>
      </c>
      <c r="AV25" s="317">
        <f>SUM(AT25*1000)+AU25+0.34</f>
        <v>693177.34</v>
      </c>
      <c r="AW25" s="320">
        <f>IF(AO25="","",RANK(AV25,AV6:AV65,0))</f>
        <v>24</v>
      </c>
      <c r="AX25" s="159"/>
      <c r="AY25" s="986"/>
      <c r="BB25" s="155">
        <f t="shared" si="9"/>
        <v>20</v>
      </c>
      <c r="BC25" s="166" t="str">
        <f>IF(BA6&lt;20,"",VLOOKUP(20,AK6:AW65,4,FALSE))</f>
        <v>JELÍNEK JAN</v>
      </c>
      <c r="BD25" s="155">
        <f>IF(BA6&lt;20,"",VLOOKUP(20,AK6:AW65,10,FALSE))</f>
        <v>719</v>
      </c>
      <c r="BE25" s="8"/>
      <c r="BG25">
        <f>IF(BK25="","",BS25)</f>
        <v>43</v>
      </c>
      <c r="BH25" s="980"/>
      <c r="BI25" s="983"/>
      <c r="BJ25" s="260" t="s">
        <v>247</v>
      </c>
      <c r="BK25" s="344">
        <v>108</v>
      </c>
      <c r="BL25" s="345">
        <v>111</v>
      </c>
      <c r="BM25" s="345">
        <v>147</v>
      </c>
      <c r="BN25" s="345">
        <v>115</v>
      </c>
      <c r="BO25" s="345">
        <v>100</v>
      </c>
      <c r="BP25" s="159">
        <f>SUM(BK25:BO25)</f>
        <v>581</v>
      </c>
      <c r="BQ25" s="165">
        <f>MAX(BK25:BO25)</f>
        <v>147</v>
      </c>
      <c r="BR25" s="317">
        <f>SUM(BP25*1000)+BQ25+0.34</f>
        <v>581147.34</v>
      </c>
      <c r="BS25" s="320">
        <f>IF(BK25="","",RANK(BR25,BR6:BR65,0))</f>
        <v>43</v>
      </c>
      <c r="BT25" s="159"/>
      <c r="BU25" s="250"/>
      <c r="BV25" s="250"/>
      <c r="BW25" s="986"/>
      <c r="BZ25" s="155">
        <f t="shared" si="10"/>
        <v>20</v>
      </c>
      <c r="CA25" s="166" t="str">
        <f>IF(BY6&lt;20,"",VLOOKUP(20,BG6:BS65,4,FALSE))</f>
        <v>TOMÁŠEK ZDENĚK</v>
      </c>
      <c r="CB25" s="155">
        <f>IF(BY6&lt;20,"",VLOOKUP(20,BG6:BS65,10,FALSE))</f>
        <v>733</v>
      </c>
      <c r="CC25" s="8"/>
      <c r="CE25">
        <f>IF(CI25="","",CQ25)</f>
        <v>23</v>
      </c>
      <c r="CF25" s="980"/>
      <c r="CG25" s="983"/>
      <c r="CH25" s="276" t="s">
        <v>193</v>
      </c>
      <c r="CI25" s="327">
        <v>181</v>
      </c>
      <c r="CJ25" s="327">
        <v>133</v>
      </c>
      <c r="CK25" s="327">
        <v>141</v>
      </c>
      <c r="CL25" s="327">
        <v>118</v>
      </c>
      <c r="CM25" s="327">
        <v>127</v>
      </c>
      <c r="CN25" s="159">
        <f>SUM(CI25:CM25)</f>
        <v>700</v>
      </c>
      <c r="CO25" s="165">
        <f>MAX(CI25:CM25)</f>
        <v>181</v>
      </c>
      <c r="CP25" s="317">
        <f>SUM(CN25*1000)+CO25+0.34</f>
        <v>700181.34</v>
      </c>
      <c r="CQ25" s="320">
        <f>IF(CI25="","",RANK(CP25,CP6:CP65,0))</f>
        <v>23</v>
      </c>
      <c r="CR25" s="159"/>
      <c r="CS25" s="250"/>
      <c r="CT25" s="250"/>
      <c r="CU25" s="986"/>
      <c r="CX25" s="155">
        <f t="shared" si="11"/>
        <v>20</v>
      </c>
      <c r="CY25" s="166" t="str">
        <f>IF(CW6&lt;20,"",VLOOKUP(20,CE6:CQ65,4,FALSE))</f>
        <v>TOMÁŠEK ZDENĚK</v>
      </c>
      <c r="CZ25" s="155">
        <f>IF(CW6&lt;20,"",VLOOKUP(20,CE6:CQ65,10,FALSE))</f>
        <v>723</v>
      </c>
      <c r="DA25" s="8"/>
      <c r="DC25">
        <f>IF(DG25="","",DO25)</f>
        <v>31</v>
      </c>
      <c r="DD25" s="980"/>
      <c r="DE25" s="989"/>
      <c r="DF25" s="536" t="s">
        <v>224</v>
      </c>
      <c r="DG25" s="347">
        <v>105</v>
      </c>
      <c r="DH25" s="347">
        <v>147</v>
      </c>
      <c r="DI25" s="347">
        <v>143</v>
      </c>
      <c r="DJ25" s="347">
        <v>149</v>
      </c>
      <c r="DK25" s="347">
        <v>139</v>
      </c>
      <c r="DL25" s="159">
        <f>SUM(DG25:DK25)</f>
        <v>683</v>
      </c>
      <c r="DM25" s="165">
        <f>MAX(DG25:DK25)</f>
        <v>149</v>
      </c>
      <c r="DN25" s="317">
        <f>SUM(DL25*1000)+DM25+0.34</f>
        <v>683149.34</v>
      </c>
      <c r="DO25" s="320">
        <f>IF(DG25="","",RANK(DN25,DN6:DN65,0))</f>
        <v>31</v>
      </c>
      <c r="DP25" s="159"/>
      <c r="DQ25" s="250"/>
      <c r="DR25" s="250"/>
      <c r="DS25" s="986"/>
      <c r="DV25" s="155">
        <f t="shared" si="12"/>
        <v>20</v>
      </c>
      <c r="DW25" s="166" t="str">
        <f>IF(DU6&lt;20,"",VLOOKUP(20,DC6:DO65,4,FALSE))</f>
        <v>Sehnal Ivan</v>
      </c>
      <c r="DX25" s="155">
        <f>IF(DU6&lt;20,"",VLOOKUP(20,DC6:DO65,10,FALSE))</f>
        <v>722</v>
      </c>
      <c r="DY25" s="8"/>
      <c r="EA25">
        <f>IF(EE25="","",EM25)</f>
        <v>25</v>
      </c>
      <c r="EB25" s="980"/>
      <c r="EC25" s="1003"/>
      <c r="ED25" s="632" t="s">
        <v>18</v>
      </c>
      <c r="EE25" s="636">
        <v>142</v>
      </c>
      <c r="EF25" s="637">
        <v>130</v>
      </c>
      <c r="EG25" s="637">
        <v>155</v>
      </c>
      <c r="EH25" s="637">
        <v>137</v>
      </c>
      <c r="EI25" s="637">
        <v>127</v>
      </c>
      <c r="EJ25" s="633">
        <f>SUM(EE25:EI25)</f>
        <v>691</v>
      </c>
      <c r="EK25" s="165">
        <f>MAX(EE25:EI25)</f>
        <v>155</v>
      </c>
      <c r="EL25" s="317">
        <f>SUM(EJ25*1000)+EK25+0.34</f>
        <v>691155.34</v>
      </c>
      <c r="EM25" s="320">
        <f>IF(EE25="","",RANK(EL25,EL6:EL65,0))</f>
        <v>25</v>
      </c>
      <c r="EN25" s="159"/>
      <c r="EO25" s="250"/>
      <c r="EP25" s="250"/>
      <c r="EQ25" s="992"/>
      <c r="ET25" s="155">
        <f t="shared" si="13"/>
        <v>20</v>
      </c>
      <c r="EU25" s="166" t="str">
        <f>IF(ES6&lt;20,"",VLOOKUP(20,EA6:EM65,4,FALSE))</f>
        <v>Štěpán Radek</v>
      </c>
      <c r="EV25" s="155">
        <f>IF(ES6&lt;20,"",VLOOKUP(20,EA6:EM65,10,FALSE))</f>
        <v>716</v>
      </c>
      <c r="EW25" s="8"/>
      <c r="EX25" s="8"/>
      <c r="EY25">
        <f>IF(FC25="","",FK25)</f>
        <v>22</v>
      </c>
      <c r="EZ25" s="1062"/>
      <c r="FA25" s="1065"/>
      <c r="FB25" s="779" t="s">
        <v>35</v>
      </c>
      <c r="FC25" s="692">
        <v>116</v>
      </c>
      <c r="FD25" s="692">
        <v>156</v>
      </c>
      <c r="FE25" s="692">
        <v>132</v>
      </c>
      <c r="FF25" s="692">
        <v>170</v>
      </c>
      <c r="FG25" s="692">
        <v>148</v>
      </c>
      <c r="FH25" s="623">
        <f>SUM(FC25:FG25)</f>
        <v>722</v>
      </c>
      <c r="FI25" s="620">
        <f>MAX(FC25:FG25)</f>
        <v>170</v>
      </c>
      <c r="FJ25" s="689">
        <f>SUM(FH25*1000)+FI25+0.34</f>
        <v>722170.34</v>
      </c>
      <c r="FK25" s="693">
        <f>IF(FC25="","",RANK(FJ25,FJ6:FJ65,0))</f>
        <v>22</v>
      </c>
      <c r="FL25" s="623"/>
      <c r="FM25" s="694"/>
      <c r="FN25" s="694"/>
      <c r="FO25" s="1056"/>
      <c r="FP25" s="8"/>
      <c r="FQ25" s="804"/>
      <c r="FR25" s="811">
        <f t="shared" si="14"/>
        <v>20</v>
      </c>
      <c r="FS25" s="809" t="str">
        <f>IF(FQ6&lt;20,"",VLOOKUP(20,EY6:FL65,4,FALSE))</f>
        <v>Troller Pavel</v>
      </c>
      <c r="FT25" s="808">
        <f>IF(FQ6&lt;20,"",VLOOKUP(20,EY6:FL65,10,FALSE))</f>
        <v>742</v>
      </c>
      <c r="FU25" s="8"/>
      <c r="FW25" t="str">
        <f>IF(GA25="","",GI25)</f>
        <v/>
      </c>
      <c r="FX25" s="980"/>
      <c r="FY25" s="983"/>
      <c r="FZ25" s="160"/>
      <c r="GA25" s="347"/>
      <c r="GB25" s="347"/>
      <c r="GC25" s="347"/>
      <c r="GD25" s="347"/>
      <c r="GE25" s="347"/>
      <c r="GF25" s="159">
        <f>SUM(GA25:GE25)</f>
        <v>0</v>
      </c>
      <c r="GG25" s="165">
        <f>MAX(GA25:GE25)</f>
        <v>0</v>
      </c>
      <c r="GH25" s="317">
        <f>SUM(GF25*1000)+GG25+0.34</f>
        <v>0.34</v>
      </c>
      <c r="GI25" s="320" t="str">
        <f>IF(GA25="","",RANK(GH25,GH6:GH70,0))</f>
        <v/>
      </c>
      <c r="GJ25" s="159"/>
      <c r="GK25" s="250"/>
      <c r="GL25" s="250"/>
      <c r="GM25" s="986"/>
      <c r="GP25" s="155">
        <f t="shared" si="15"/>
        <v>20</v>
      </c>
      <c r="GQ25" s="166" t="str">
        <f>IF(GO6&lt;20,"",VLOOKUP(20,FW6:GI70,4,FALSE))</f>
        <v/>
      </c>
      <c r="GR25" s="155" t="str">
        <f>IF(GO6&lt;20,"",VLOOKUP(20,FW6:GI70,10,FALSE))</f>
        <v/>
      </c>
    </row>
    <row r="26" spans="1:200" ht="15" customHeight="1">
      <c r="A26" s="915"/>
      <c r="B26" s="915"/>
      <c r="C26" s="915"/>
      <c r="D26" s="915"/>
      <c r="E26" s="915"/>
      <c r="F26" s="915"/>
      <c r="G26" s="915"/>
      <c r="H26" s="915"/>
      <c r="I26" s="915"/>
      <c r="J26" s="915"/>
      <c r="K26" s="915"/>
      <c r="L26" s="915"/>
      <c r="M26" s="915"/>
      <c r="O26">
        <f>IF(S26="","",AA26)</f>
        <v>38</v>
      </c>
      <c r="P26" s="980"/>
      <c r="Q26" s="983"/>
      <c r="R26" s="171" t="s">
        <v>170</v>
      </c>
      <c r="S26" s="327">
        <v>102</v>
      </c>
      <c r="T26" s="319">
        <v>153</v>
      </c>
      <c r="U26" s="319">
        <v>110</v>
      </c>
      <c r="V26" s="319">
        <v>145</v>
      </c>
      <c r="W26" s="319">
        <v>104</v>
      </c>
      <c r="X26" s="159">
        <f>SUM(S26:W26)</f>
        <v>614</v>
      </c>
      <c r="Y26" s="165">
        <f>MAX(S26:W26)</f>
        <v>153</v>
      </c>
      <c r="Z26" s="317">
        <f>SUM(X26*1000)+Y26+0.33</f>
        <v>614153.32999999996</v>
      </c>
      <c r="AA26" s="320">
        <f>IF(S26="","",RANK(Z26,Z6:Z65,0))</f>
        <v>38</v>
      </c>
      <c r="AB26" s="159"/>
      <c r="AC26" s="986"/>
      <c r="AF26" s="155">
        <f t="shared" si="8"/>
        <v>21</v>
      </c>
      <c r="AG26" s="166" t="str">
        <f>IF(AE6&lt;21,"",VLOOKUP(21,O6:AA65,4,FALSE))</f>
        <v>KŘEMENÁK PETR</v>
      </c>
      <c r="AH26" s="155">
        <f>IF(AE6&lt;21,"",VLOOKUP(21,O6:AA65,10,FALSE))</f>
        <v>707</v>
      </c>
      <c r="AI26" s="8"/>
      <c r="AK26">
        <f>IF(AO26="","",AW26)</f>
        <v>12</v>
      </c>
      <c r="AL26" s="980"/>
      <c r="AM26" s="983"/>
      <c r="AN26" s="241" t="s">
        <v>157</v>
      </c>
      <c r="AO26" s="327">
        <v>207</v>
      </c>
      <c r="AP26" s="319">
        <v>115</v>
      </c>
      <c r="AQ26" s="319">
        <v>170</v>
      </c>
      <c r="AR26" s="319">
        <v>136</v>
      </c>
      <c r="AS26" s="319">
        <v>178</v>
      </c>
      <c r="AT26" s="159">
        <f>SUM(AO26:AS26)</f>
        <v>806</v>
      </c>
      <c r="AU26" s="165">
        <f>MAX(AO26:AS26)</f>
        <v>207</v>
      </c>
      <c r="AV26" s="317">
        <f>SUM(AT26*1000)+AU26+0.33</f>
        <v>806207.33</v>
      </c>
      <c r="AW26" s="320">
        <f>IF(AO26="","",RANK(AV26,AV6:AV65,0))</f>
        <v>12</v>
      </c>
      <c r="AX26" s="159"/>
      <c r="AY26" s="986"/>
      <c r="BB26" s="155">
        <f t="shared" si="9"/>
        <v>21</v>
      </c>
      <c r="BC26" s="166" t="str">
        <f>IF(BA6&lt;21,"",VLOOKUP(21,AK6:AW65,4,FALSE))</f>
        <v>BOŠEK JAN</v>
      </c>
      <c r="BD26" s="155">
        <f>IF(BA6&lt;21,"",VLOOKUP(21,AK6:AW65,10,FALSE))</f>
        <v>710</v>
      </c>
      <c r="BE26" s="8"/>
      <c r="BG26">
        <f>IF(BK26="","",BS26)</f>
        <v>37</v>
      </c>
      <c r="BH26" s="980"/>
      <c r="BI26" s="983"/>
      <c r="BJ26" s="261" t="s">
        <v>229</v>
      </c>
      <c r="BK26" s="344">
        <v>100</v>
      </c>
      <c r="BL26" s="345">
        <v>124</v>
      </c>
      <c r="BM26" s="345">
        <v>164</v>
      </c>
      <c r="BN26" s="345">
        <v>155</v>
      </c>
      <c r="BO26" s="345">
        <v>117</v>
      </c>
      <c r="BP26" s="159">
        <f>SUM(BK26:BO26)</f>
        <v>660</v>
      </c>
      <c r="BQ26" s="165">
        <f>MAX(BK26:BO26)</f>
        <v>164</v>
      </c>
      <c r="BR26" s="317">
        <f>SUM(BP26*1000)+BQ26+0.33</f>
        <v>660164.32999999996</v>
      </c>
      <c r="BS26" s="320">
        <f>IF(BK26="","",RANK(BR26,BR6:BR65,0))</f>
        <v>37</v>
      </c>
      <c r="BT26" s="159"/>
      <c r="BU26" s="250"/>
      <c r="BV26" s="250"/>
      <c r="BW26" s="986"/>
      <c r="BZ26" s="155">
        <f t="shared" si="10"/>
        <v>21</v>
      </c>
      <c r="CA26" s="166" t="str">
        <f>IF(BY6&lt;21,"",VLOOKUP(21,BG6:BS65,4,FALSE))</f>
        <v>SLADOVNÍK MILOSLAV</v>
      </c>
      <c r="CB26" s="155">
        <f>IF(BY6&lt;21,"",VLOOKUP(21,BG6:BS65,10,FALSE))</f>
        <v>727</v>
      </c>
      <c r="CC26" s="8"/>
      <c r="CE26">
        <f>IF(CI26="","",CQ26)</f>
        <v>41</v>
      </c>
      <c r="CF26" s="980"/>
      <c r="CG26" s="983"/>
      <c r="CH26" s="277" t="s">
        <v>190</v>
      </c>
      <c r="CI26" s="327">
        <v>113</v>
      </c>
      <c r="CJ26" s="327">
        <v>100</v>
      </c>
      <c r="CK26" s="327">
        <v>111</v>
      </c>
      <c r="CL26" s="327">
        <v>118</v>
      </c>
      <c r="CM26" s="327">
        <v>127</v>
      </c>
      <c r="CN26" s="159">
        <f>SUM(CI26:CM26)</f>
        <v>569</v>
      </c>
      <c r="CO26" s="165">
        <f>MAX(CI26:CM26)</f>
        <v>127</v>
      </c>
      <c r="CP26" s="317">
        <f>SUM(CN26*1000)+CO26+0.33</f>
        <v>569127.32999999996</v>
      </c>
      <c r="CQ26" s="320">
        <f>IF(CI26="","",RANK(CP26,CP6:CP65,0))</f>
        <v>41</v>
      </c>
      <c r="CR26" s="159"/>
      <c r="CS26" s="250"/>
      <c r="CT26" s="250"/>
      <c r="CU26" s="986"/>
      <c r="CX26" s="155">
        <f t="shared" si="11"/>
        <v>21</v>
      </c>
      <c r="CY26" s="166" t="str">
        <f>IF(CW6&lt;21,"",VLOOKUP(21,CE6:CQ65,4,FALSE))</f>
        <v>AUNICKÝ FRANTIŠEK</v>
      </c>
      <c r="CZ26" s="155">
        <f>IF(CW6&lt;21,"",VLOOKUP(21,CE6:CQ65,10,FALSE))</f>
        <v>705</v>
      </c>
      <c r="DA26" s="8"/>
      <c r="DC26">
        <f>IF(DG26="","",DO26)</f>
        <v>45</v>
      </c>
      <c r="DD26" s="980"/>
      <c r="DE26" s="989"/>
      <c r="DF26" s="536" t="s">
        <v>15</v>
      </c>
      <c r="DG26" s="347">
        <v>139</v>
      </c>
      <c r="DH26" s="347">
        <v>112</v>
      </c>
      <c r="DI26" s="347">
        <v>78</v>
      </c>
      <c r="DJ26" s="347">
        <v>113</v>
      </c>
      <c r="DK26" s="347">
        <v>119</v>
      </c>
      <c r="DL26" s="159">
        <f>SUM(DG26:DK26)</f>
        <v>561</v>
      </c>
      <c r="DM26" s="165">
        <f>MAX(DG26:DK26)</f>
        <v>139</v>
      </c>
      <c r="DN26" s="317">
        <f>SUM(DL26*1000)+DM26+0.33</f>
        <v>561139.32999999996</v>
      </c>
      <c r="DO26" s="320">
        <f>IF(DG26="","",RANK(DN26,DN6:DN65,0))</f>
        <v>45</v>
      </c>
      <c r="DP26" s="159"/>
      <c r="DQ26" s="250"/>
      <c r="DR26" s="250"/>
      <c r="DS26" s="986"/>
      <c r="DV26" s="155">
        <f t="shared" si="12"/>
        <v>21</v>
      </c>
      <c r="DW26" s="166" t="str">
        <f>IF(DU6&lt;21,"",VLOOKUP(21,DC6:DO65,4,FALSE))</f>
        <v>Turek Stanislav</v>
      </c>
      <c r="DX26" s="155">
        <f>IF(DU6&lt;21,"",VLOOKUP(21,DC6:DO65,10,FALSE))</f>
        <v>721</v>
      </c>
      <c r="DY26" s="8"/>
      <c r="EA26">
        <f>IF(EE26="","",EM26)</f>
        <v>37</v>
      </c>
      <c r="EB26" s="980"/>
      <c r="EC26" s="1003"/>
      <c r="ED26" s="632" t="s">
        <v>99</v>
      </c>
      <c r="EE26" s="636">
        <v>151</v>
      </c>
      <c r="EF26" s="637">
        <v>128</v>
      </c>
      <c r="EG26" s="637">
        <v>126</v>
      </c>
      <c r="EH26" s="637">
        <v>107</v>
      </c>
      <c r="EI26" s="637">
        <v>115</v>
      </c>
      <c r="EJ26" s="633">
        <f>SUM(EE26:EI26)</f>
        <v>627</v>
      </c>
      <c r="EK26" s="165">
        <f>MAX(EE26:EI26)</f>
        <v>151</v>
      </c>
      <c r="EL26" s="317">
        <f>SUM(EJ26*1000)+EK26+0.33</f>
        <v>627151.32999999996</v>
      </c>
      <c r="EM26" s="320">
        <f>IF(EE26="","",RANK(EL26,EL6:EL65,0))</f>
        <v>37</v>
      </c>
      <c r="EN26" s="159"/>
      <c r="EO26" s="250"/>
      <c r="EP26" s="250"/>
      <c r="EQ26" s="992"/>
      <c r="ET26" s="155">
        <f t="shared" si="13"/>
        <v>21</v>
      </c>
      <c r="EU26" s="166" t="str">
        <f>IF(ES6&lt;21,"",VLOOKUP(21,EA6:EM65,4,FALSE))</f>
        <v>Troller Pavel</v>
      </c>
      <c r="EV26" s="155">
        <f>IF(ES6&lt;21,"",VLOOKUP(21,EA6:EM65,10,FALSE))</f>
        <v>701</v>
      </c>
      <c r="EW26" s="8"/>
      <c r="EX26" s="8"/>
      <c r="EY26">
        <f>IF(FC26="","",FK26)</f>
        <v>1</v>
      </c>
      <c r="EZ26" s="1062"/>
      <c r="FA26" s="1065"/>
      <c r="FB26" s="779" t="s">
        <v>244</v>
      </c>
      <c r="FC26" s="692">
        <v>163</v>
      </c>
      <c r="FD26" s="692">
        <v>181</v>
      </c>
      <c r="FE26" s="692">
        <v>199</v>
      </c>
      <c r="FF26" s="692">
        <v>173</v>
      </c>
      <c r="FG26" s="692">
        <v>177</v>
      </c>
      <c r="FH26" s="623">
        <f>SUM(FC26:FG26)</f>
        <v>893</v>
      </c>
      <c r="FI26" s="620">
        <f>MAX(FC26:FG26)</f>
        <v>199</v>
      </c>
      <c r="FJ26" s="689">
        <f>SUM(FH26*1000)+FI26+0.33</f>
        <v>893199.33</v>
      </c>
      <c r="FK26" s="693">
        <f>IF(FC26="","",RANK(FJ26,FJ6:FJ65,0))</f>
        <v>1</v>
      </c>
      <c r="FL26" s="623"/>
      <c r="FM26" s="694"/>
      <c r="FN26" s="694"/>
      <c r="FO26" s="1056"/>
      <c r="FP26" s="8"/>
      <c r="FQ26" s="804"/>
      <c r="FR26" s="811">
        <f t="shared" si="14"/>
        <v>21</v>
      </c>
      <c r="FS26" s="809" t="str">
        <f>IF(FQ6&lt;21,"",VLOOKUP(21,EY6:FL65,4,FALSE))</f>
        <v>Berger Michal</v>
      </c>
      <c r="FT26" s="808">
        <f>IF(FQ6&lt;21,"",VLOOKUP(21,EY6:FL65,10,FALSE))</f>
        <v>729</v>
      </c>
      <c r="FU26" s="8"/>
      <c r="FW26" t="str">
        <f>IF(GA26="","",GI26)</f>
        <v/>
      </c>
      <c r="FX26" s="980"/>
      <c r="FY26" s="983"/>
      <c r="FZ26" s="160"/>
      <c r="GA26" s="347"/>
      <c r="GB26" s="347"/>
      <c r="GC26" s="347"/>
      <c r="GD26" s="347"/>
      <c r="GE26" s="347"/>
      <c r="GF26" s="159">
        <f>SUM(GA26:GE26)</f>
        <v>0</v>
      </c>
      <c r="GG26" s="165">
        <f>MAX(GA26:GE26)</f>
        <v>0</v>
      </c>
      <c r="GH26" s="317">
        <f>SUM(GF26*1000)+GG26+0.33</f>
        <v>0.33</v>
      </c>
      <c r="GI26" s="320" t="str">
        <f>IF(GA26="","",RANK(GH26,GH6:GH70,0))</f>
        <v/>
      </c>
      <c r="GJ26" s="159"/>
      <c r="GK26" s="250"/>
      <c r="GL26" s="250"/>
      <c r="GM26" s="986"/>
      <c r="GP26" s="155">
        <f t="shared" si="15"/>
        <v>21</v>
      </c>
      <c r="GQ26" s="166" t="str">
        <f>IF(GO6&lt;21,"",VLOOKUP(21,FW6:GI70,4,FALSE))</f>
        <v/>
      </c>
      <c r="GR26" s="155" t="str">
        <f>IF(GO6&lt;21,"",VLOOKUP(21,FW6:GI70,10,FALSE))</f>
        <v/>
      </c>
    </row>
    <row r="27" spans="1:200" ht="15" customHeight="1">
      <c r="A27" s="915"/>
      <c r="B27" s="915"/>
      <c r="C27" s="915"/>
      <c r="D27" s="915"/>
      <c r="E27" s="915"/>
      <c r="F27" s="915"/>
      <c r="G27" s="915"/>
      <c r="H27" s="915"/>
      <c r="I27" s="915"/>
      <c r="J27" s="915"/>
      <c r="K27" s="915"/>
      <c r="L27" s="915"/>
      <c r="M27" s="915"/>
      <c r="O27">
        <f>IF(S27="","",AA27)</f>
        <v>29</v>
      </c>
      <c r="P27" s="980"/>
      <c r="Q27" s="983"/>
      <c r="R27" s="167" t="s">
        <v>171</v>
      </c>
      <c r="S27" s="327">
        <v>122</v>
      </c>
      <c r="T27" s="319">
        <v>122</v>
      </c>
      <c r="U27" s="319">
        <v>144</v>
      </c>
      <c r="V27" s="319">
        <v>127</v>
      </c>
      <c r="W27" s="319">
        <v>142</v>
      </c>
      <c r="X27" s="159">
        <f>SUM(S27:W27)</f>
        <v>657</v>
      </c>
      <c r="Y27" s="165">
        <f>MAX(S27:W27)</f>
        <v>144</v>
      </c>
      <c r="Z27" s="317">
        <f>SUM(X27*1000)+Y27+0.32</f>
        <v>657144.31999999995</v>
      </c>
      <c r="AA27" s="320">
        <f>IF(S27="","",RANK(Z27,Z6:Z65,0))</f>
        <v>29</v>
      </c>
      <c r="AB27" s="159"/>
      <c r="AC27" s="986"/>
      <c r="AF27" s="155">
        <f t="shared" si="8"/>
        <v>22</v>
      </c>
      <c r="AG27" s="166" t="str">
        <f>IF(AE6&lt;22,"",VLOOKUP(22,O6:AA65,4,FALSE))</f>
        <v>TICHÝ HUGO</v>
      </c>
      <c r="AH27" s="155">
        <f>IF(AE6&lt;22,"",VLOOKUP(22,O6:AA65,10,FALSE))</f>
        <v>705</v>
      </c>
      <c r="AI27" s="8"/>
      <c r="AK27">
        <f>IF(AO27="","",AW27)</f>
        <v>2</v>
      </c>
      <c r="AL27" s="980"/>
      <c r="AM27" s="983"/>
      <c r="AN27" s="238" t="s">
        <v>151</v>
      </c>
      <c r="AO27" s="327">
        <v>172</v>
      </c>
      <c r="AP27" s="319">
        <v>179</v>
      </c>
      <c r="AQ27" s="319">
        <v>183</v>
      </c>
      <c r="AR27" s="319">
        <v>185</v>
      </c>
      <c r="AS27" s="319">
        <v>196</v>
      </c>
      <c r="AT27" s="159">
        <f>SUM(AO27:AS27)</f>
        <v>915</v>
      </c>
      <c r="AU27" s="165">
        <f>MAX(AO27:AS27)</f>
        <v>196</v>
      </c>
      <c r="AV27" s="317">
        <f>SUM(AT27*1000)+AU27+0.32</f>
        <v>915196.32</v>
      </c>
      <c r="AW27" s="320">
        <f>IF(AO27="","",RANK(AV27,AV6:AV65,0))</f>
        <v>2</v>
      </c>
      <c r="AX27" s="159"/>
      <c r="AY27" s="986"/>
      <c r="BB27" s="155">
        <f t="shared" si="9"/>
        <v>22</v>
      </c>
      <c r="BC27" s="166" t="str">
        <f>IF(BA6&lt;22,"",VLOOKUP(22,AK6:AW65,4,FALSE))</f>
        <v>ŠAFÁŘ LADISLAV</v>
      </c>
      <c r="BD27" s="155">
        <f>IF(BA6&lt;22,"",VLOOKUP(22,AK6:AW65,10,FALSE))</f>
        <v>708</v>
      </c>
      <c r="BE27" s="8"/>
      <c r="BG27">
        <f>IF(BK27="","",BS27)</f>
        <v>49</v>
      </c>
      <c r="BH27" s="980"/>
      <c r="BI27" s="983"/>
      <c r="BJ27" s="258" t="s">
        <v>248</v>
      </c>
      <c r="BK27" s="344">
        <v>84</v>
      </c>
      <c r="BL27" s="345">
        <v>114</v>
      </c>
      <c r="BM27" s="345">
        <v>108</v>
      </c>
      <c r="BN27" s="345">
        <v>98</v>
      </c>
      <c r="BO27" s="345">
        <v>104</v>
      </c>
      <c r="BP27" s="159">
        <f>SUM(BK27:BO27)</f>
        <v>508</v>
      </c>
      <c r="BQ27" s="165">
        <f>MAX(BK27:BO27)</f>
        <v>114</v>
      </c>
      <c r="BR27" s="317">
        <f>SUM(BP27*1000)+BQ27+0.32</f>
        <v>508114.32</v>
      </c>
      <c r="BS27" s="320">
        <f>IF(BK27="","",RANK(BR27,BR6:BR65,0))</f>
        <v>49</v>
      </c>
      <c r="BT27" s="159"/>
      <c r="BU27" s="250"/>
      <c r="BV27" s="250"/>
      <c r="BW27" s="986"/>
      <c r="BZ27" s="155">
        <f t="shared" si="10"/>
        <v>22</v>
      </c>
      <c r="CA27" s="166" t="str">
        <f>IF(BY6&lt;22,"",VLOOKUP(22,BG6:BS65,4,FALSE))</f>
        <v>KOVÁŘ JAROSLAV</v>
      </c>
      <c r="CB27" s="155">
        <f>IF(BY6&lt;22,"",VLOOKUP(22,BG6:BS65,10,FALSE))</f>
        <v>726</v>
      </c>
      <c r="CC27" s="8"/>
      <c r="CE27">
        <f>IF(CI27="","",CQ27)</f>
        <v>37</v>
      </c>
      <c r="CF27" s="980"/>
      <c r="CG27" s="983"/>
      <c r="CH27" s="275" t="s">
        <v>195</v>
      </c>
      <c r="CI27" s="327">
        <v>130</v>
      </c>
      <c r="CJ27" s="327">
        <v>103</v>
      </c>
      <c r="CK27" s="327">
        <v>108</v>
      </c>
      <c r="CL27" s="327">
        <v>129</v>
      </c>
      <c r="CM27" s="327">
        <v>131</v>
      </c>
      <c r="CN27" s="159">
        <f>SUM(CI27:CM27)</f>
        <v>601</v>
      </c>
      <c r="CO27" s="165">
        <f>MAX(CI27:CM27)</f>
        <v>131</v>
      </c>
      <c r="CP27" s="317">
        <f>SUM(CN27*1000)+CO27+0.32</f>
        <v>601131.31999999995</v>
      </c>
      <c r="CQ27" s="320">
        <f>IF(CI27="","",RANK(CP27,CP6:CP65,0))</f>
        <v>37</v>
      </c>
      <c r="CR27" s="159"/>
      <c r="CS27" s="250"/>
      <c r="CT27" s="250"/>
      <c r="CU27" s="986"/>
      <c r="CX27" s="155">
        <f t="shared" si="11"/>
        <v>22</v>
      </c>
      <c r="CY27" s="166" t="str">
        <f>IF(CW6&lt;22,"",VLOOKUP(22,CE6:CQ65,4,FALSE))</f>
        <v>BERGER MICHAL</v>
      </c>
      <c r="CZ27" s="155">
        <f>IF(CW6&lt;22,"",VLOOKUP(22,CE6:CQ65,10,FALSE))</f>
        <v>703</v>
      </c>
      <c r="DA27" s="8"/>
      <c r="DC27">
        <f>IF(DG27="","",DO27)</f>
        <v>5</v>
      </c>
      <c r="DD27" s="980"/>
      <c r="DE27" s="989"/>
      <c r="DF27" s="536" t="s">
        <v>32</v>
      </c>
      <c r="DG27" s="347">
        <v>123</v>
      </c>
      <c r="DH27" s="347">
        <v>223</v>
      </c>
      <c r="DI27" s="347">
        <v>152</v>
      </c>
      <c r="DJ27" s="347">
        <v>158</v>
      </c>
      <c r="DK27" s="347">
        <v>178</v>
      </c>
      <c r="DL27" s="159">
        <f>SUM(DG27:DK27)</f>
        <v>834</v>
      </c>
      <c r="DM27" s="165">
        <f>MAX(DG27:DK27)</f>
        <v>223</v>
      </c>
      <c r="DN27" s="317">
        <f>SUM(DL27*1000)+DM27+0.32</f>
        <v>834223.32</v>
      </c>
      <c r="DO27" s="320">
        <f>IF(DG27="","",RANK(DN27,DN6:DN65,0))</f>
        <v>5</v>
      </c>
      <c r="DP27" s="159"/>
      <c r="DQ27" s="250"/>
      <c r="DR27" s="250"/>
      <c r="DS27" s="986"/>
      <c r="DV27" s="155">
        <f t="shared" si="12"/>
        <v>22</v>
      </c>
      <c r="DW27" s="166" t="str">
        <f>IF(DU6&lt;22,"",VLOOKUP(22,DC6:DO65,4,FALSE))</f>
        <v>Brejcha Jaroslav</v>
      </c>
      <c r="DX27" s="155">
        <f>IF(DU6&lt;22,"",VLOOKUP(22,DC6:DO65,10,FALSE))</f>
        <v>718</v>
      </c>
      <c r="DY27" s="8"/>
      <c r="EA27">
        <f>IF(EE27="","",EM27)</f>
        <v>19</v>
      </c>
      <c r="EB27" s="980"/>
      <c r="EC27" s="1003"/>
      <c r="ED27" s="632" t="s">
        <v>70</v>
      </c>
      <c r="EE27" s="636">
        <v>140</v>
      </c>
      <c r="EF27" s="637">
        <v>181</v>
      </c>
      <c r="EG27" s="637">
        <v>127</v>
      </c>
      <c r="EH27" s="637">
        <v>155</v>
      </c>
      <c r="EI27" s="637">
        <v>120</v>
      </c>
      <c r="EJ27" s="633">
        <f>SUM(EE27:EI27)</f>
        <v>723</v>
      </c>
      <c r="EK27" s="165">
        <f>MAX(EE27:EI27)</f>
        <v>181</v>
      </c>
      <c r="EL27" s="317">
        <f>SUM(EJ27*1000)+EK27+0.32</f>
        <v>723181.32</v>
      </c>
      <c r="EM27" s="320">
        <f>IF(EE27="","",RANK(EL27,EL6:EL65,0))</f>
        <v>19</v>
      </c>
      <c r="EN27" s="159"/>
      <c r="EO27" s="250"/>
      <c r="EP27" s="250"/>
      <c r="EQ27" s="992"/>
      <c r="ET27" s="155">
        <f t="shared" si="13"/>
        <v>22</v>
      </c>
      <c r="EU27" s="166" t="str">
        <f>IF(ES6&lt;22,"",VLOOKUP(22,EA6:EM65,4,FALSE))</f>
        <v>Táborský Lukáš</v>
      </c>
      <c r="EV27" s="155">
        <f>IF(ES6&lt;22,"",VLOOKUP(22,EA6:EM65,10,FALSE))</f>
        <v>695</v>
      </c>
      <c r="EW27" s="8"/>
      <c r="EX27" s="8"/>
      <c r="EY27">
        <f>IF(FC27="","",FK27)</f>
        <v>13</v>
      </c>
      <c r="EZ27" s="1062"/>
      <c r="FA27" s="1065"/>
      <c r="FB27" s="779" t="s">
        <v>34</v>
      </c>
      <c r="FC27" s="692">
        <v>183</v>
      </c>
      <c r="FD27" s="692">
        <v>168</v>
      </c>
      <c r="FE27" s="692">
        <v>178</v>
      </c>
      <c r="FF27" s="692">
        <v>142</v>
      </c>
      <c r="FG27" s="692">
        <v>125</v>
      </c>
      <c r="FH27" s="623">
        <f>SUM(FC27:FG27)</f>
        <v>796</v>
      </c>
      <c r="FI27" s="620">
        <f>MAX(FC27:FG27)</f>
        <v>183</v>
      </c>
      <c r="FJ27" s="689">
        <f>SUM(FH27*1000)+FI27+0.32</f>
        <v>796183.32</v>
      </c>
      <c r="FK27" s="693">
        <f>IF(FC27="","",RANK(FJ27,FJ6:FJ65,0))</f>
        <v>13</v>
      </c>
      <c r="FL27" s="623"/>
      <c r="FM27" s="694"/>
      <c r="FN27" s="694"/>
      <c r="FO27" s="1056"/>
      <c r="FP27" s="8"/>
      <c r="FQ27" s="804"/>
      <c r="FR27" s="811">
        <f t="shared" si="14"/>
        <v>22</v>
      </c>
      <c r="FS27" s="809" t="str">
        <f>IF(FQ6&lt;22,"",VLOOKUP(22,EY6:FL65,4,FALSE))</f>
        <v>Alba Vladimír</v>
      </c>
      <c r="FT27" s="808">
        <f>IF(FQ6&lt;22,"",VLOOKUP(22,EY6:FL65,10,FALSE))</f>
        <v>722</v>
      </c>
      <c r="FU27" s="8"/>
      <c r="FW27" t="str">
        <f>IF(GA27="","",GI27)</f>
        <v/>
      </c>
      <c r="FX27" s="980"/>
      <c r="FY27" s="983"/>
      <c r="FZ27" s="160"/>
      <c r="GA27" s="347"/>
      <c r="GB27" s="347"/>
      <c r="GC27" s="347"/>
      <c r="GD27" s="347"/>
      <c r="GE27" s="347"/>
      <c r="GF27" s="159">
        <f>SUM(GA27:GE27)</f>
        <v>0</v>
      </c>
      <c r="GG27" s="165">
        <f>MAX(GA27:GE27)</f>
        <v>0</v>
      </c>
      <c r="GH27" s="317">
        <f>SUM(GF27*1000)+GG27+0.32</f>
        <v>0.32</v>
      </c>
      <c r="GI27" s="320" t="str">
        <f>IF(GA27="","",RANK(GH27,GH6:GH70,0))</f>
        <v/>
      </c>
      <c r="GJ27" s="159"/>
      <c r="GK27" s="250"/>
      <c r="GL27" s="250"/>
      <c r="GM27" s="986"/>
      <c r="GP27" s="155">
        <f t="shared" si="15"/>
        <v>22</v>
      </c>
      <c r="GQ27" s="166" t="str">
        <f>IF(GO6&lt;22,"",VLOOKUP(22,FW6:GI70,4,FALSE))</f>
        <v/>
      </c>
      <c r="GR27" s="155" t="str">
        <f>IF(GO6&lt;22,"",VLOOKUP(22,FW6:GI70,10,FALSE))</f>
        <v/>
      </c>
    </row>
    <row r="28" spans="1:200" ht="15" customHeight="1">
      <c r="A28" s="915"/>
      <c r="B28" s="915"/>
      <c r="C28" s="915"/>
      <c r="D28" s="915"/>
      <c r="E28" s="915"/>
      <c r="F28" s="915"/>
      <c r="G28" s="915"/>
      <c r="H28" s="915"/>
      <c r="I28" s="915"/>
      <c r="J28" s="915"/>
      <c r="K28" s="915"/>
      <c r="L28" s="915"/>
      <c r="M28" s="915"/>
      <c r="O28">
        <f>IF(S28="","",AA28)</f>
        <v>20</v>
      </c>
      <c r="P28" s="980"/>
      <c r="Q28" s="983"/>
      <c r="R28" s="158" t="s">
        <v>172</v>
      </c>
      <c r="S28" s="327">
        <v>141</v>
      </c>
      <c r="T28" s="319">
        <v>155</v>
      </c>
      <c r="U28" s="319">
        <v>140</v>
      </c>
      <c r="V28" s="319">
        <v>139</v>
      </c>
      <c r="W28" s="319">
        <v>143</v>
      </c>
      <c r="X28" s="159">
        <f>SUM(S28:W28)</f>
        <v>718</v>
      </c>
      <c r="Y28" s="165">
        <f>MAX(S28:W28)</f>
        <v>155</v>
      </c>
      <c r="Z28" s="317">
        <f>SUM(X28*1000)+Y28+0.31</f>
        <v>718155.31</v>
      </c>
      <c r="AA28" s="320">
        <f>IF(S28="","",RANK(Z28,Z6:Z65,0))</f>
        <v>20</v>
      </c>
      <c r="AB28" s="159"/>
      <c r="AC28" s="986"/>
      <c r="AF28" s="155">
        <f t="shared" si="8"/>
        <v>23</v>
      </c>
      <c r="AG28" s="166" t="str">
        <f>IF(AE6&lt;23,"",VLOOKUP(23,O6:AA65,4,FALSE))</f>
        <v>MYSLIVEČEK JAROSLAV</v>
      </c>
      <c r="AH28" s="155">
        <f>IF(AE6&lt;23,"",VLOOKUP(23,O6:AA65,10,FALSE))</f>
        <v>702</v>
      </c>
      <c r="AI28" s="8"/>
      <c r="AK28">
        <f>IF(AO28="","",AW28)</f>
        <v>6</v>
      </c>
      <c r="AL28" s="980"/>
      <c r="AM28" s="983"/>
      <c r="AN28" s="237" t="s">
        <v>158</v>
      </c>
      <c r="AO28" s="327">
        <v>194</v>
      </c>
      <c r="AP28" s="319">
        <v>218</v>
      </c>
      <c r="AQ28" s="319">
        <v>150</v>
      </c>
      <c r="AR28" s="319">
        <v>158</v>
      </c>
      <c r="AS28" s="319">
        <v>156</v>
      </c>
      <c r="AT28" s="159">
        <f>SUM(AO28:AS28)</f>
        <v>876</v>
      </c>
      <c r="AU28" s="165">
        <f>MAX(AO28:AS28)</f>
        <v>218</v>
      </c>
      <c r="AV28" s="317">
        <f>SUM(AT28*1000)+AU28+0.31</f>
        <v>876218.31</v>
      </c>
      <c r="AW28" s="320">
        <f>IF(AO28="","",RANK(AV28,AV6:AV65,0))</f>
        <v>6</v>
      </c>
      <c r="AX28" s="159"/>
      <c r="AY28" s="986"/>
      <c r="BB28" s="155">
        <f t="shared" si="9"/>
        <v>23</v>
      </c>
      <c r="BC28" s="166" t="str">
        <f>IF(BA6&lt;23,"",VLOOKUP(23,AK6:AW65,4,FALSE))</f>
        <v>ALBA VLADIMÍR</v>
      </c>
      <c r="BD28" s="155">
        <f>IF(BA6&lt;23,"",VLOOKUP(23,AK6:AW65,10,FALSE))</f>
        <v>701</v>
      </c>
      <c r="BE28" s="8"/>
      <c r="BG28">
        <f>IF(BK28="","",BS28)</f>
        <v>45</v>
      </c>
      <c r="BH28" s="980"/>
      <c r="BI28" s="983"/>
      <c r="BJ28" s="257" t="s">
        <v>207</v>
      </c>
      <c r="BK28" s="344">
        <v>103</v>
      </c>
      <c r="BL28" s="345">
        <v>108</v>
      </c>
      <c r="BM28" s="345">
        <v>128</v>
      </c>
      <c r="BN28" s="345">
        <v>135</v>
      </c>
      <c r="BO28" s="345">
        <v>93</v>
      </c>
      <c r="BP28" s="159">
        <f>SUM(BK28:BO28)</f>
        <v>567</v>
      </c>
      <c r="BQ28" s="165">
        <f>MAX(BK28:BO28)</f>
        <v>135</v>
      </c>
      <c r="BR28" s="317">
        <f>SUM(BP28*1000)+BQ28+0.31</f>
        <v>567135.31000000006</v>
      </c>
      <c r="BS28" s="320">
        <f>IF(BK28="","",RANK(BR28,BR6:BR65,0))</f>
        <v>45</v>
      </c>
      <c r="BT28" s="159"/>
      <c r="BU28" s="250"/>
      <c r="BV28" s="250"/>
      <c r="BW28" s="986"/>
      <c r="BZ28" s="155">
        <f t="shared" si="10"/>
        <v>23</v>
      </c>
      <c r="CA28" s="166" t="str">
        <f>IF(BY6&lt;23,"",VLOOKUP(23,BG6:BS65,4,FALSE))</f>
        <v>FRONĚK MARTIN</v>
      </c>
      <c r="CB28" s="155">
        <f>IF(BY6&lt;23,"",VLOOKUP(23,BG6:BS65,10,FALSE))</f>
        <v>720</v>
      </c>
      <c r="CC28" s="8"/>
      <c r="CE28">
        <f>IF(CI28="","",CQ28)</f>
        <v>39</v>
      </c>
      <c r="CF28" s="980"/>
      <c r="CG28" s="983"/>
      <c r="CH28" s="274" t="s">
        <v>236</v>
      </c>
      <c r="CI28" s="327">
        <v>104</v>
      </c>
      <c r="CJ28" s="327">
        <v>124</v>
      </c>
      <c r="CK28" s="327">
        <v>87</v>
      </c>
      <c r="CL28" s="327">
        <v>133</v>
      </c>
      <c r="CM28" s="327">
        <v>135</v>
      </c>
      <c r="CN28" s="159">
        <f>SUM(CI28:CM28)</f>
        <v>583</v>
      </c>
      <c r="CO28" s="165">
        <f>MAX(CI28:CM28)</f>
        <v>135</v>
      </c>
      <c r="CP28" s="317">
        <f>SUM(CN28*1000)+CO28+0.31</f>
        <v>583135.31000000006</v>
      </c>
      <c r="CQ28" s="320">
        <f>IF(CI28="","",RANK(CP28,CP6:CP65,0))</f>
        <v>39</v>
      </c>
      <c r="CR28" s="159"/>
      <c r="CS28" s="250"/>
      <c r="CT28" s="250"/>
      <c r="CU28" s="986"/>
      <c r="CX28" s="155">
        <f t="shared" si="11"/>
        <v>23</v>
      </c>
      <c r="CY28" s="166" t="str">
        <f>IF(CW6&lt;23,"",VLOOKUP(23,CE6:CQ65,4,FALSE))</f>
        <v>KAZDA JAN</v>
      </c>
      <c r="CZ28" s="155">
        <f>IF(CW6&lt;23,"",VLOOKUP(23,CE6:CQ65,10,FALSE))</f>
        <v>700</v>
      </c>
      <c r="DA28" s="8"/>
      <c r="DC28">
        <f>IF(DG28="","",DO28)</f>
        <v>25</v>
      </c>
      <c r="DD28" s="980"/>
      <c r="DE28" s="989"/>
      <c r="DF28" s="536" t="s">
        <v>73</v>
      </c>
      <c r="DG28" s="347">
        <v>145</v>
      </c>
      <c r="DH28" s="347">
        <v>119</v>
      </c>
      <c r="DI28" s="347">
        <v>166</v>
      </c>
      <c r="DJ28" s="347">
        <v>141</v>
      </c>
      <c r="DK28" s="347">
        <v>133</v>
      </c>
      <c r="DL28" s="159">
        <f>SUM(DG28:DK28)</f>
        <v>704</v>
      </c>
      <c r="DM28" s="165">
        <f>MAX(DG28:DK28)</f>
        <v>166</v>
      </c>
      <c r="DN28" s="317">
        <f>SUM(DL28*1000)+DM28+0.31</f>
        <v>704166.31</v>
      </c>
      <c r="DO28" s="320">
        <f>IF(DG28="","",RANK(DN28,DN6:DN65,0))</f>
        <v>25</v>
      </c>
      <c r="DP28" s="159"/>
      <c r="DQ28" s="250"/>
      <c r="DR28" s="250"/>
      <c r="DS28" s="986"/>
      <c r="DV28" s="155">
        <f t="shared" si="12"/>
        <v>23</v>
      </c>
      <c r="DW28" s="166" t="str">
        <f>IF(DU6&lt;23,"",VLOOKUP(23,DC6:DO65,4,FALSE))</f>
        <v>Růžička Ladislav</v>
      </c>
      <c r="DX28" s="155">
        <f>IF(DU6&lt;23,"",VLOOKUP(23,DC6:DO65,10,FALSE))</f>
        <v>717</v>
      </c>
      <c r="DY28" s="8"/>
      <c r="EA28">
        <f>IF(EE28="","",EM28)</f>
        <v>26</v>
      </c>
      <c r="EB28" s="980"/>
      <c r="EC28" s="1003"/>
      <c r="ED28" s="632" t="s">
        <v>81</v>
      </c>
      <c r="EE28" s="636">
        <v>121</v>
      </c>
      <c r="EF28" s="637">
        <v>127</v>
      </c>
      <c r="EG28" s="637">
        <v>138</v>
      </c>
      <c r="EH28" s="637">
        <v>155</v>
      </c>
      <c r="EI28" s="637">
        <v>144</v>
      </c>
      <c r="EJ28" s="633">
        <f>SUM(EE28:EI28)</f>
        <v>685</v>
      </c>
      <c r="EK28" s="165">
        <f>MAX(EE28:EI28)</f>
        <v>155</v>
      </c>
      <c r="EL28" s="317">
        <f>SUM(EJ28*1000)+EK28+0.31</f>
        <v>685155.31</v>
      </c>
      <c r="EM28" s="320">
        <f>IF(EE28="","",RANK(EL28,EL6:EL65,0))</f>
        <v>26</v>
      </c>
      <c r="EN28" s="159"/>
      <c r="EO28" s="250"/>
      <c r="EP28" s="250"/>
      <c r="EQ28" s="992"/>
      <c r="ET28" s="155">
        <f t="shared" si="13"/>
        <v>23</v>
      </c>
      <c r="EU28" s="166" t="str">
        <f>IF(ES6&lt;23,"",VLOOKUP(23,EA6:EM65,4,FALSE))</f>
        <v>Kollár Pavel</v>
      </c>
      <c r="EV28" s="155">
        <f>IF(ES6&lt;23,"",VLOOKUP(23,EA6:EM65,10,FALSE))</f>
        <v>695</v>
      </c>
      <c r="EW28" s="8"/>
      <c r="EX28" s="8"/>
      <c r="EY28">
        <f>IF(FC28="","",FK28)</f>
        <v>6</v>
      </c>
      <c r="EZ28" s="1062"/>
      <c r="FA28" s="1065"/>
      <c r="FB28" s="780" t="s">
        <v>3</v>
      </c>
      <c r="FC28" s="695">
        <v>174</v>
      </c>
      <c r="FD28" s="695">
        <v>148</v>
      </c>
      <c r="FE28" s="695">
        <v>167</v>
      </c>
      <c r="FF28" s="695">
        <v>171</v>
      </c>
      <c r="FG28" s="695">
        <v>184</v>
      </c>
      <c r="FH28" s="696">
        <f>SUM(FC28:FG28)</f>
        <v>844</v>
      </c>
      <c r="FI28" s="697">
        <f>MAX(FC28:FG28)</f>
        <v>184</v>
      </c>
      <c r="FJ28" s="698">
        <f>SUM(FH28*1000)+FI28+0.31</f>
        <v>844184.31</v>
      </c>
      <c r="FK28" s="699">
        <f>IF(FC28="","",RANK(FJ28,FJ6:FJ65,0))</f>
        <v>6</v>
      </c>
      <c r="FL28" s="696"/>
      <c r="FM28" s="694"/>
      <c r="FN28" s="694"/>
      <c r="FO28" s="1056"/>
      <c r="FP28" s="8"/>
      <c r="FQ28" s="804"/>
      <c r="FR28" s="811">
        <f t="shared" si="14"/>
        <v>23</v>
      </c>
      <c r="FS28" s="809" t="str">
        <f>IF(FQ6&lt;23,"",VLOOKUP(23,EY6:FL65,4,FALSE))</f>
        <v>Mysliveček Jaroslav</v>
      </c>
      <c r="FT28" s="808">
        <f>IF(FQ6&lt;23,"",VLOOKUP(23,EY6:FL65,10,FALSE))</f>
        <v>717</v>
      </c>
      <c r="FU28" s="8"/>
      <c r="FW28" t="str">
        <f>IF(GA28="","",GI28)</f>
        <v/>
      </c>
      <c r="FX28" s="980"/>
      <c r="FY28" s="983"/>
      <c r="FZ28" s="160"/>
      <c r="GA28" s="347"/>
      <c r="GB28" s="347"/>
      <c r="GC28" s="347"/>
      <c r="GD28" s="347"/>
      <c r="GE28" s="347"/>
      <c r="GF28" s="159">
        <f>SUM(GA28:GE28)</f>
        <v>0</v>
      </c>
      <c r="GG28" s="165">
        <f>MAX(GA28:GE28)</f>
        <v>0</v>
      </c>
      <c r="GH28" s="317">
        <f>SUM(GF28*1000)+GG28+0.31</f>
        <v>0.31</v>
      </c>
      <c r="GI28" s="320" t="str">
        <f>IF(GA28="","",RANK(GH28,GH6:GH70,0))</f>
        <v/>
      </c>
      <c r="GJ28" s="159"/>
      <c r="GK28" s="250"/>
      <c r="GL28" s="250"/>
      <c r="GM28" s="986"/>
      <c r="GP28" s="155">
        <f t="shared" si="15"/>
        <v>23</v>
      </c>
      <c r="GQ28" s="166" t="str">
        <f>IF(GO6&lt;23,"",VLOOKUP(23,FW6:GI70,4,FALSE))</f>
        <v/>
      </c>
      <c r="GR28" s="155" t="str">
        <f>IF(GO6&lt;23,"",VLOOKUP(23,FW6:GI70,10,FALSE))</f>
        <v/>
      </c>
    </row>
    <row r="29" spans="1:200" ht="15" customHeight="1">
      <c r="A29" s="915"/>
      <c r="B29" s="915"/>
      <c r="C29" s="915"/>
      <c r="D29" s="915"/>
      <c r="E29" s="915"/>
      <c r="F29" s="915"/>
      <c r="G29" s="915"/>
      <c r="H29" s="915"/>
      <c r="I29" s="915"/>
      <c r="J29" s="915"/>
      <c r="K29" s="915"/>
      <c r="L29" s="915"/>
      <c r="M29" s="915"/>
      <c r="P29" s="981"/>
      <c r="Q29" s="984"/>
      <c r="R29" s="162"/>
      <c r="S29" s="331">
        <f>SUM(S24:S28)</f>
        <v>583</v>
      </c>
      <c r="T29" s="321">
        <f>SUM(T24:T28)</f>
        <v>639</v>
      </c>
      <c r="U29" s="321">
        <f>SUM(U24:U28)</f>
        <v>668</v>
      </c>
      <c r="V29" s="321">
        <f>SUM(V24:V28)</f>
        <v>618</v>
      </c>
      <c r="W29" s="321">
        <f>SUM(W24:W28)</f>
        <v>590</v>
      </c>
      <c r="X29" s="322"/>
      <c r="Y29" s="322"/>
      <c r="Z29" s="322"/>
      <c r="AA29" s="322"/>
      <c r="AB29" s="323">
        <f>SUM(S29:W29)</f>
        <v>3098</v>
      </c>
      <c r="AC29" s="987"/>
      <c r="AF29" s="155">
        <f t="shared" si="8"/>
        <v>24</v>
      </c>
      <c r="AG29" s="166" t="str">
        <f>IF(AE6&lt;24,"",VLOOKUP(24,O6:AA65,4,FALSE))</f>
        <v>TROLLER PAVEL</v>
      </c>
      <c r="AH29" s="155">
        <f>IF(AE6&lt;24,"",VLOOKUP(24,O6:AA65,10,FALSE))</f>
        <v>691</v>
      </c>
      <c r="AI29" s="8"/>
      <c r="AL29" s="981"/>
      <c r="AM29" s="984"/>
      <c r="AN29" s="172"/>
      <c r="AO29" s="341">
        <f>SUM(AO24:AO28)</f>
        <v>874</v>
      </c>
      <c r="AP29" s="339">
        <f>SUM(AP24:AP28)</f>
        <v>838</v>
      </c>
      <c r="AQ29" s="339">
        <f>SUM(AQ24:AQ28)</f>
        <v>758</v>
      </c>
      <c r="AR29" s="339">
        <f>SUM(AR24:AR28)</f>
        <v>740</v>
      </c>
      <c r="AS29" s="339">
        <f>SUM(AS24:AS28)</f>
        <v>781</v>
      </c>
      <c r="AT29" s="322"/>
      <c r="AU29" s="322"/>
      <c r="AV29" s="322"/>
      <c r="AW29" s="322"/>
      <c r="AX29" s="323">
        <f>SUM(AO29:AS29)</f>
        <v>3991</v>
      </c>
      <c r="AY29" s="987"/>
      <c r="BB29" s="155">
        <f t="shared" si="9"/>
        <v>24</v>
      </c>
      <c r="BC29" s="166" t="str">
        <f>IF(BA6&lt;24,"",VLOOKUP(24,AK6:AW65,4,FALSE))</f>
        <v>SLADOVNÍK MILOSLAV</v>
      </c>
      <c r="BD29" s="155">
        <f>IF(BA6&lt;24,"",VLOOKUP(24,AK6:AW65,10,FALSE))</f>
        <v>693</v>
      </c>
      <c r="BE29" s="8"/>
      <c r="BH29" s="981"/>
      <c r="BI29" s="984"/>
      <c r="BJ29" s="172"/>
      <c r="BK29" s="341">
        <f>SUM(BK24:BK28)</f>
        <v>531</v>
      </c>
      <c r="BL29" s="339">
        <f>SUM(BL24:BL28)</f>
        <v>597</v>
      </c>
      <c r="BM29" s="339">
        <f>SUM(BM24:BM28)</f>
        <v>670</v>
      </c>
      <c r="BN29" s="339">
        <f>SUM(BN24:BN28)</f>
        <v>638</v>
      </c>
      <c r="BO29" s="339">
        <f>SUM(BO24:BO28)</f>
        <v>561</v>
      </c>
      <c r="BP29" s="322"/>
      <c r="BQ29" s="322"/>
      <c r="BR29" s="322"/>
      <c r="BS29" s="322"/>
      <c r="BT29" s="323">
        <f>SUM(BK29:BO29)</f>
        <v>2997</v>
      </c>
      <c r="BU29" s="163">
        <f>MAX(BK29:BO29)</f>
        <v>670</v>
      </c>
      <c r="BV29" s="163">
        <f>IF(BK24="","",SUM(BT29*10000)+BU29)</f>
        <v>29970670</v>
      </c>
      <c r="BW29" s="987"/>
      <c r="BZ29" s="155">
        <f t="shared" si="10"/>
        <v>24</v>
      </c>
      <c r="CA29" s="166" t="str">
        <f>IF(BY6&lt;24,"",VLOOKUP(24,BG6:BS65,4,FALSE))</f>
        <v>TICHÝ HUGO</v>
      </c>
      <c r="CB29" s="155">
        <f>IF(BY6&lt;24,"",VLOOKUP(24,BG6:BS65,10,FALSE))</f>
        <v>711</v>
      </c>
      <c r="CC29" s="8"/>
      <c r="CF29" s="981"/>
      <c r="CG29" s="984"/>
      <c r="CH29" s="172"/>
      <c r="CI29" s="341">
        <f>SUM(CI24:CI28)</f>
        <v>689</v>
      </c>
      <c r="CJ29" s="339">
        <f>SUM(CJ24:CJ28)</f>
        <v>597</v>
      </c>
      <c r="CK29" s="339">
        <f>SUM(CK24:CK28)</f>
        <v>557</v>
      </c>
      <c r="CL29" s="339">
        <f>SUM(CL24:CL28)</f>
        <v>659</v>
      </c>
      <c r="CM29" s="339">
        <f>SUM(CM24:CM28)</f>
        <v>656</v>
      </c>
      <c r="CN29" s="322"/>
      <c r="CO29" s="322"/>
      <c r="CP29" s="322"/>
      <c r="CQ29" s="322"/>
      <c r="CR29" s="323">
        <f>SUM(CI29:CM29)</f>
        <v>3158</v>
      </c>
      <c r="CS29" s="163">
        <f>MAX(CI29:CM29)</f>
        <v>689</v>
      </c>
      <c r="CT29" s="163">
        <f>IF(CI24="","",SUM(CR29*1000)+CS29)</f>
        <v>3158689</v>
      </c>
      <c r="CU29" s="987"/>
      <c r="CX29" s="155">
        <f t="shared" si="11"/>
        <v>24</v>
      </c>
      <c r="CY29" s="166" t="str">
        <f>IF(CW6&lt;24,"",VLOOKUP(24,CE6:CQ65,4,FALSE))</f>
        <v>RADOVÁ PETRA</v>
      </c>
      <c r="CZ29" s="155">
        <f>IF(CW6&lt;24,"",VLOOKUP(24,CE6:CQ65,10,FALSE))</f>
        <v>688</v>
      </c>
      <c r="DA29" s="8"/>
      <c r="DD29" s="981"/>
      <c r="DE29" s="990"/>
      <c r="DF29" s="172"/>
      <c r="DG29" s="341">
        <f>SUM(DG24:DG28)</f>
        <v>688</v>
      </c>
      <c r="DH29" s="339">
        <f>SUM(DH24:DH28)</f>
        <v>737</v>
      </c>
      <c r="DI29" s="339">
        <f>SUM(DI24:DI28)</f>
        <v>654</v>
      </c>
      <c r="DJ29" s="339">
        <f>SUM(DJ24:DJ28)</f>
        <v>730</v>
      </c>
      <c r="DK29" s="339">
        <f>SUM(DK24:DK28)</f>
        <v>674</v>
      </c>
      <c r="DL29" s="322"/>
      <c r="DM29" s="322"/>
      <c r="DN29" s="322"/>
      <c r="DO29" s="322"/>
      <c r="DP29" s="323">
        <f>SUM(DG29:DK29)</f>
        <v>3483</v>
      </c>
      <c r="DQ29" s="163">
        <f>MAX(DG29:DK29)</f>
        <v>737</v>
      </c>
      <c r="DR29" s="163">
        <f>IF(DG24="","",SUM(DP29*1000)+DQ29)</f>
        <v>3483737</v>
      </c>
      <c r="DS29" s="987"/>
      <c r="DV29" s="155">
        <f t="shared" si="12"/>
        <v>24</v>
      </c>
      <c r="DW29" s="166" t="str">
        <f>IF(DU6&lt;24,"",VLOOKUP(24,DC6:DO65,4,FALSE))</f>
        <v>Radová Petra</v>
      </c>
      <c r="DX29" s="155">
        <f>IF(DU6&lt;24,"",VLOOKUP(24,DC6:DO65,10,FALSE))</f>
        <v>717</v>
      </c>
      <c r="DY29" s="8"/>
      <c r="EB29" s="981"/>
      <c r="EC29" s="1004"/>
      <c r="ED29" s="172"/>
      <c r="EE29" s="321">
        <f>SUM(EE24:EE28)</f>
        <v>703</v>
      </c>
      <c r="EF29" s="321">
        <f>SUM(EF24:EF28)</f>
        <v>692</v>
      </c>
      <c r="EG29" s="321">
        <f>SUM(EG24:EG28)</f>
        <v>677</v>
      </c>
      <c r="EH29" s="321">
        <f>SUM(EH24:EH28)</f>
        <v>634</v>
      </c>
      <c r="EI29" s="321">
        <f>SUM(EI24:EI28)</f>
        <v>647</v>
      </c>
      <c r="EJ29" s="322"/>
      <c r="EK29" s="322"/>
      <c r="EL29" s="322"/>
      <c r="EM29" s="322"/>
      <c r="EN29" s="323">
        <f>SUM(EE29:EI29)</f>
        <v>3353</v>
      </c>
      <c r="EO29" s="163">
        <f>MAX(EE29:EI29)</f>
        <v>703</v>
      </c>
      <c r="EP29" s="163">
        <f>IF(EE24="","",SUM(EN29*1000)+EO29)</f>
        <v>3353703</v>
      </c>
      <c r="EQ29" s="993"/>
      <c r="ET29" s="155">
        <f t="shared" si="13"/>
        <v>24</v>
      </c>
      <c r="EU29" s="166" t="str">
        <f>IF(ES6&lt;24,"",VLOOKUP(24,EA6:EM65,4,FALSE))</f>
        <v>Kazda Jan</v>
      </c>
      <c r="EV29" s="155">
        <f>IF(ES6&lt;24,"",VLOOKUP(24,EA6:EM65,10,FALSE))</f>
        <v>694</v>
      </c>
      <c r="EW29" s="8"/>
      <c r="EX29" s="8"/>
      <c r="EZ29" s="1063"/>
      <c r="FA29" s="1066"/>
      <c r="FB29" s="762"/>
      <c r="FC29" s="763">
        <f>SUM(FC24:FC28)</f>
        <v>797</v>
      </c>
      <c r="FD29" s="764">
        <f>SUM(FD24:FD28)</f>
        <v>863</v>
      </c>
      <c r="FE29" s="763">
        <f>SUM(FE24:FE28)</f>
        <v>834</v>
      </c>
      <c r="FF29" s="763">
        <f>SUM(FF24:FF28)</f>
        <v>830</v>
      </c>
      <c r="FG29" s="763">
        <f>SUM(FG24:FG28)</f>
        <v>781</v>
      </c>
      <c r="FH29" s="765"/>
      <c r="FI29" s="766"/>
      <c r="FJ29" s="766"/>
      <c r="FK29" s="766"/>
      <c r="FL29" s="765">
        <f>SUM(FC29:FG29)</f>
        <v>4105</v>
      </c>
      <c r="FM29" s="767">
        <f>MAX(FC29:FG29)</f>
        <v>863</v>
      </c>
      <c r="FN29" s="767">
        <f>IF(FC24="","",SUM(FL29*1000)+FM29)</f>
        <v>4105863</v>
      </c>
      <c r="FO29" s="1056"/>
      <c r="FP29" s="8"/>
      <c r="FQ29" s="804"/>
      <c r="FR29" s="811">
        <f t="shared" si="14"/>
        <v>24</v>
      </c>
      <c r="FS29" s="809" t="str">
        <f>IF(FQ6&lt;24,"",VLOOKUP(24,EY6:FL65,4,FALSE))</f>
        <v>Táborský Lukáš</v>
      </c>
      <c r="FT29" s="808">
        <f>IF(FQ6&lt;24,"",VLOOKUP(24,EY6:FL65,10,FALSE))</f>
        <v>697</v>
      </c>
      <c r="FU29" s="8"/>
      <c r="FX29" s="981"/>
      <c r="FY29" s="984"/>
      <c r="FZ29" s="172"/>
      <c r="GA29" s="341">
        <f>SUM(GA24:GA28)</f>
        <v>0</v>
      </c>
      <c r="GB29" s="339">
        <f>SUM(GB24:GB28)</f>
        <v>0</v>
      </c>
      <c r="GC29" s="339">
        <f>SUM(GC24:GC28)</f>
        <v>0</v>
      </c>
      <c r="GD29" s="339">
        <f>SUM(GD24:GD28)</f>
        <v>0</v>
      </c>
      <c r="GE29" s="339">
        <f>SUM(GE24:GE28)</f>
        <v>0</v>
      </c>
      <c r="GF29" s="322"/>
      <c r="GG29" s="322"/>
      <c r="GH29" s="322"/>
      <c r="GI29" s="322"/>
      <c r="GJ29" s="323">
        <f>SUM(GA29:GE29)</f>
        <v>0</v>
      </c>
      <c r="GK29" s="163">
        <f>MAX(GA29:GE29)</f>
        <v>0</v>
      </c>
      <c r="GL29" s="163" t="str">
        <f>IF(GA24="","",SUM(GJ29*1000)+GK29)</f>
        <v/>
      </c>
      <c r="GM29" s="987"/>
      <c r="GP29" s="155">
        <f t="shared" si="15"/>
        <v>24</v>
      </c>
      <c r="GQ29" s="166" t="str">
        <f>IF(GO6&lt;24,"",VLOOKUP(24,FW6:GI70,4,FALSE))</f>
        <v/>
      </c>
      <c r="GR29" s="155" t="str">
        <f>IF(GO6&lt;24,"",VLOOKUP(24,FW6:GI70,10,FALSE))</f>
        <v/>
      </c>
    </row>
    <row r="30" spans="1:200" ht="15" customHeight="1">
      <c r="A30" s="915"/>
      <c r="B30" s="915"/>
      <c r="C30" s="915"/>
      <c r="D30" s="915"/>
      <c r="E30" s="915"/>
      <c r="F30" s="915"/>
      <c r="G30" s="915"/>
      <c r="H30" s="915"/>
      <c r="I30" s="915"/>
      <c r="J30" s="915"/>
      <c r="K30" s="915"/>
      <c r="L30" s="915"/>
      <c r="M30" s="915"/>
      <c r="O30">
        <f>IF(S30="","",AA30)</f>
        <v>32</v>
      </c>
      <c r="P30" s="979">
        <v>5</v>
      </c>
      <c r="Q30" s="982" t="s">
        <v>173</v>
      </c>
      <c r="R30" s="164" t="s">
        <v>174</v>
      </c>
      <c r="S30" s="324">
        <v>115</v>
      </c>
      <c r="T30" s="325">
        <v>155</v>
      </c>
      <c r="U30" s="325">
        <v>107</v>
      </c>
      <c r="V30" s="325">
        <v>145</v>
      </c>
      <c r="W30" s="325">
        <v>115</v>
      </c>
      <c r="X30" s="165">
        <f>SUM(S30:W30)</f>
        <v>637</v>
      </c>
      <c r="Y30" s="165">
        <f>MAX(S30:W30)</f>
        <v>155</v>
      </c>
      <c r="Z30" s="317">
        <f>SUM(X30*1000)+Y30+0.3</f>
        <v>637155.30000000005</v>
      </c>
      <c r="AA30" s="318">
        <f>IF(S30="","",RANK(Z30,Z6:Z65,0))</f>
        <v>32</v>
      </c>
      <c r="AB30" s="165"/>
      <c r="AC30" s="1021">
        <f>RANK(AB35,AB11:AB65,0)</f>
        <v>2</v>
      </c>
      <c r="AF30" s="155">
        <f t="shared" si="8"/>
        <v>25</v>
      </c>
      <c r="AG30" s="166" t="str">
        <f>IF(AE6&lt;25,"",VLOOKUP(25,O6:AA65,4,FALSE))</f>
        <v>KALFIŘT PETR</v>
      </c>
      <c r="AH30" s="155">
        <f>IF(AE6&lt;25,"",VLOOKUP(25,O6:AA65,10,FALSE))</f>
        <v>680</v>
      </c>
      <c r="AI30" s="8"/>
      <c r="AK30">
        <f>IF(AO30="","",AW30)</f>
        <v>19</v>
      </c>
      <c r="AL30" s="979">
        <v>5</v>
      </c>
      <c r="AM30" s="982" t="s">
        <v>160</v>
      </c>
      <c r="AN30" s="236" t="s">
        <v>162</v>
      </c>
      <c r="AO30" s="338">
        <v>135</v>
      </c>
      <c r="AP30" s="316">
        <v>143</v>
      </c>
      <c r="AQ30" s="316">
        <v>134</v>
      </c>
      <c r="AR30" s="316">
        <v>184</v>
      </c>
      <c r="AS30" s="316">
        <v>132</v>
      </c>
      <c r="AT30" s="165">
        <f>SUM(AO30:AS30)</f>
        <v>728</v>
      </c>
      <c r="AU30" s="165">
        <f>MAX(AO30:AS30)</f>
        <v>184</v>
      </c>
      <c r="AV30" s="317">
        <f>SUM(AT30*1000)+AU30+0.3</f>
        <v>728184.3</v>
      </c>
      <c r="AW30" s="318">
        <f>IF(AO30="","",RANK(AV30,AV6:AV65,0))</f>
        <v>19</v>
      </c>
      <c r="AX30" s="165"/>
      <c r="AY30" s="1021">
        <f>RANK(AX35,AX11:AX65,0)</f>
        <v>4</v>
      </c>
      <c r="BB30" s="155">
        <f t="shared" si="9"/>
        <v>25</v>
      </c>
      <c r="BC30" s="166" t="str">
        <f>IF(BA6&lt;25,"",VLOOKUP(25,AK6:AW65,4,FALSE))</f>
        <v>BROŽ STANISLAV</v>
      </c>
      <c r="BD30" s="155">
        <f>IF(BA6&lt;25,"",VLOOKUP(25,AK6:AW65,10,FALSE))</f>
        <v>693</v>
      </c>
      <c r="BE30" s="8"/>
      <c r="BG30">
        <f>IF(BK30="","",BS30)</f>
        <v>31</v>
      </c>
      <c r="BH30" s="979">
        <v>5</v>
      </c>
      <c r="BI30" s="982" t="s">
        <v>138</v>
      </c>
      <c r="BJ30" s="259" t="s">
        <v>142</v>
      </c>
      <c r="BK30" s="342">
        <v>141</v>
      </c>
      <c r="BL30" s="343">
        <v>139</v>
      </c>
      <c r="BM30" s="343">
        <v>187</v>
      </c>
      <c r="BN30" s="343">
        <v>103</v>
      </c>
      <c r="BO30" s="343">
        <v>110</v>
      </c>
      <c r="BP30" s="165">
        <f>SUM(BK30:BO30)</f>
        <v>680</v>
      </c>
      <c r="BQ30" s="165">
        <f>MAX(BK30:BO30)</f>
        <v>187</v>
      </c>
      <c r="BR30" s="317">
        <f>SUM(BP30*1000)+BQ30+0.3</f>
        <v>680187.3</v>
      </c>
      <c r="BS30" s="318">
        <f>IF(BK30="","",RANK(BR30,BR6:BR65,0))</f>
        <v>31</v>
      </c>
      <c r="BT30" s="165"/>
      <c r="BU30" s="249"/>
      <c r="BV30" s="249"/>
      <c r="BW30" s="1021">
        <f>IF(BK30="","",RANK(BV35,BV11:BV65,0))</f>
        <v>7</v>
      </c>
      <c r="BZ30" s="155">
        <f t="shared" si="10"/>
        <v>25</v>
      </c>
      <c r="CA30" s="166" t="str">
        <f>IF(BY6&lt;25,"",VLOOKUP(25,BG6:BS65,4,FALSE))</f>
        <v>CARVAN PAVEL</v>
      </c>
      <c r="CB30" s="155">
        <f>IF(BY6&lt;25,"",VLOOKUP(25,BG6:BS65,10,FALSE))</f>
        <v>705</v>
      </c>
      <c r="CC30" s="8"/>
      <c r="CE30">
        <f>IF(CI30="","",CQ30)</f>
        <v>45</v>
      </c>
      <c r="CF30" s="979">
        <v>5</v>
      </c>
      <c r="CG30" s="982" t="s">
        <v>197</v>
      </c>
      <c r="CH30" s="278" t="s">
        <v>246</v>
      </c>
      <c r="CI30" s="324">
        <v>116</v>
      </c>
      <c r="CJ30" s="324">
        <v>151</v>
      </c>
      <c r="CK30" s="324">
        <v>75</v>
      </c>
      <c r="CL30" s="324">
        <v>91</v>
      </c>
      <c r="CM30" s="324">
        <v>116</v>
      </c>
      <c r="CN30" s="165">
        <f>SUM(CI30:CM30)</f>
        <v>549</v>
      </c>
      <c r="CO30" s="165">
        <f>MAX(CI30:CM30)</f>
        <v>151</v>
      </c>
      <c r="CP30" s="317">
        <f>SUM(CN30*1000)+CO30+0.3</f>
        <v>549151.30000000005</v>
      </c>
      <c r="CQ30" s="318">
        <f>IF(CI30="","",RANK(CP30,CP6:CP65,0))</f>
        <v>45</v>
      </c>
      <c r="CR30" s="165"/>
      <c r="CS30" s="249"/>
      <c r="CT30" s="249"/>
      <c r="CU30" s="1021">
        <f>IF(CI30="","",RANK(CT35,CT11:CT65,0))</f>
        <v>6</v>
      </c>
      <c r="CX30" s="155">
        <f t="shared" si="11"/>
        <v>25</v>
      </c>
      <c r="CY30" s="166" t="str">
        <f>IF(CW6&lt;25,"",VLOOKUP(25,CE6:CQ65,4,FALSE))</f>
        <v>KUTINA PAVEL</v>
      </c>
      <c r="CZ30" s="155">
        <f>IF(CW6&lt;25,"",VLOOKUP(25,CE6:CQ65,10,FALSE))</f>
        <v>682</v>
      </c>
      <c r="DA30" s="8"/>
      <c r="DC30">
        <f>IF(DG30="","",DO30)</f>
        <v>1</v>
      </c>
      <c r="DD30" s="979">
        <v>5</v>
      </c>
      <c r="DE30" s="988" t="s">
        <v>185</v>
      </c>
      <c r="DF30" s="537" t="s">
        <v>96</v>
      </c>
      <c r="DG30" s="346">
        <v>201</v>
      </c>
      <c r="DH30" s="346">
        <v>205</v>
      </c>
      <c r="DI30" s="346">
        <v>199</v>
      </c>
      <c r="DJ30" s="346">
        <v>171</v>
      </c>
      <c r="DK30" s="346">
        <v>183</v>
      </c>
      <c r="DL30" s="165">
        <f>SUM(DG30:DK30)</f>
        <v>959</v>
      </c>
      <c r="DM30" s="165">
        <f>MAX(DG30:DK30)</f>
        <v>205</v>
      </c>
      <c r="DN30" s="317">
        <f>SUM(DL30*1000)+DM30+0.3</f>
        <v>959205.3</v>
      </c>
      <c r="DO30" s="318">
        <f>IF(DG30="","",RANK(DN30,DN6:DN65,0))</f>
        <v>1</v>
      </c>
      <c r="DP30" s="165"/>
      <c r="DQ30" s="249"/>
      <c r="DR30" s="249"/>
      <c r="DS30" s="1021">
        <f>IF(DG30="","",RANK(DR35,DR11:DR65,0))</f>
        <v>1</v>
      </c>
      <c r="DV30" s="155">
        <f t="shared" si="12"/>
        <v>25</v>
      </c>
      <c r="DW30" s="166" t="str">
        <f>IF(DU6&lt;25,"",VLOOKUP(25,DC6:DO65,4,FALSE))</f>
        <v>Lazurová Jiřina</v>
      </c>
      <c r="DX30" s="155">
        <f>IF(DU6&lt;25,"",VLOOKUP(25,DC6:DO65,10,FALSE))</f>
        <v>704</v>
      </c>
      <c r="DY30" s="8"/>
      <c r="EA30">
        <f>IF(EE30="","",EM30)</f>
        <v>35</v>
      </c>
      <c r="EB30" s="979">
        <v>5</v>
      </c>
      <c r="EC30" s="1005" t="s">
        <v>173</v>
      </c>
      <c r="ED30" s="535" t="s">
        <v>32</v>
      </c>
      <c r="EE30" s="613">
        <v>111</v>
      </c>
      <c r="EF30" s="614">
        <v>105</v>
      </c>
      <c r="EG30" s="614">
        <v>133</v>
      </c>
      <c r="EH30" s="614">
        <v>139</v>
      </c>
      <c r="EI30" s="614">
        <v>145</v>
      </c>
      <c r="EJ30" s="165">
        <f>SUM(EE30:EI30)</f>
        <v>633</v>
      </c>
      <c r="EK30" s="165">
        <f>MAX(EE30:EI30)</f>
        <v>145</v>
      </c>
      <c r="EL30" s="317">
        <f>SUM(EJ30*1000)+EK30+0.3</f>
        <v>633145.30000000005</v>
      </c>
      <c r="EM30" s="318">
        <f>IF(EE30="","",RANK(EL30,EL6:EL65,0))</f>
        <v>35</v>
      </c>
      <c r="EN30" s="165"/>
      <c r="EO30" s="249"/>
      <c r="EP30" s="249"/>
      <c r="EQ30" s="1024">
        <f>IF(EE30="","",RANK(EP35,EP11:EP65,0))</f>
        <v>3</v>
      </c>
      <c r="ET30" s="155">
        <f t="shared" si="13"/>
        <v>25</v>
      </c>
      <c r="EU30" s="166" t="str">
        <f>IF(ES6&lt;25,"",VLOOKUP(25,EA6:EM65,4,FALSE))</f>
        <v>Brejcha Jaroslav</v>
      </c>
      <c r="EV30" s="155">
        <f>IF(ES6&lt;25,"",VLOOKUP(25,EA6:EM65,10,FALSE))</f>
        <v>691</v>
      </c>
      <c r="EW30" s="8"/>
      <c r="EX30" s="8"/>
      <c r="EY30">
        <f>IF(FC30="","",FK30)</f>
        <v>11</v>
      </c>
      <c r="EZ30" s="1027">
        <v>5</v>
      </c>
      <c r="FA30" s="1030" t="s">
        <v>160</v>
      </c>
      <c r="FB30" s="781" t="s">
        <v>36</v>
      </c>
      <c r="FC30" s="786">
        <v>157</v>
      </c>
      <c r="FD30" s="786">
        <v>208</v>
      </c>
      <c r="FE30" s="786">
        <v>177</v>
      </c>
      <c r="FF30" s="786">
        <v>123</v>
      </c>
      <c r="FG30" s="786">
        <v>138</v>
      </c>
      <c r="FH30" s="700">
        <f>SUM(FC30:FG30)</f>
        <v>803</v>
      </c>
      <c r="FI30" s="700">
        <f>MAX(FC30:FG30)</f>
        <v>208</v>
      </c>
      <c r="FJ30" s="701">
        <f>SUM(FH30*1000)+FI30+0.3</f>
        <v>803208.3</v>
      </c>
      <c r="FK30" s="702">
        <f>IF(FC30="","",RANK(FJ30,FJ6:FJ65,0))</f>
        <v>11</v>
      </c>
      <c r="FL30" s="700"/>
      <c r="FM30" s="249"/>
      <c r="FN30" s="249"/>
      <c r="FO30" s="1057">
        <f>IF(FC30="","",RANK(FN35,FN11:FN65,0))</f>
        <v>5</v>
      </c>
      <c r="FP30" s="8"/>
      <c r="FQ30" s="804"/>
      <c r="FR30" s="811">
        <f t="shared" si="14"/>
        <v>25</v>
      </c>
      <c r="FS30" s="809" t="str">
        <f>IF(FQ6&lt;25,"",VLOOKUP(25,EY6:FL65,4,FALSE))</f>
        <v>Křemenák Petr</v>
      </c>
      <c r="FT30" s="808">
        <f>IF(FQ6&lt;25,"",VLOOKUP(25,EY6:FL65,10,FALSE))</f>
        <v>687</v>
      </c>
      <c r="FU30" s="8"/>
      <c r="FW30" t="str">
        <f>IF(GA30="","",GI30)</f>
        <v/>
      </c>
      <c r="FX30" s="979">
        <v>5</v>
      </c>
      <c r="FY30" s="982" t="s">
        <v>173</v>
      </c>
      <c r="FZ30" s="157"/>
      <c r="GA30" s="346"/>
      <c r="GB30" s="346"/>
      <c r="GC30" s="346"/>
      <c r="GD30" s="346"/>
      <c r="GE30" s="346"/>
      <c r="GF30" s="165">
        <f>SUM(GA30:GE30)</f>
        <v>0</v>
      </c>
      <c r="GG30" s="165">
        <f>MAX(GA30:GE30)</f>
        <v>0</v>
      </c>
      <c r="GH30" s="317">
        <f>SUM(GF30*1000)+GG30+0.3</f>
        <v>0.3</v>
      </c>
      <c r="GI30" s="318" t="str">
        <f>IF(GA30="","",RANK(GH30,GH6:GH70,0))</f>
        <v/>
      </c>
      <c r="GJ30" s="165"/>
      <c r="GK30" s="249"/>
      <c r="GL30" s="249"/>
      <c r="GM30" s="1021" t="str">
        <f>IF(GA30="","",RANK(GL35,GL11:GL71,0))</f>
        <v/>
      </c>
      <c r="GP30" s="155">
        <f t="shared" si="15"/>
        <v>25</v>
      </c>
      <c r="GQ30" s="166" t="str">
        <f>IF(GO6&lt;25,"",VLOOKUP(25,FW6:GI70,4,FALSE))</f>
        <v/>
      </c>
      <c r="GR30" s="155" t="str">
        <f>IF(GO6&lt;25,"",VLOOKUP(25,FW6:GI70,10,FALSE))</f>
        <v/>
      </c>
    </row>
    <row r="31" spans="1:200" ht="15" customHeight="1">
      <c r="A31" s="915"/>
      <c r="B31" s="915"/>
      <c r="C31" s="915"/>
      <c r="D31" s="915"/>
      <c r="E31" s="915"/>
      <c r="F31" s="915"/>
      <c r="G31" s="915"/>
      <c r="H31" s="915"/>
      <c r="I31" s="915"/>
      <c r="J31" s="915"/>
      <c r="K31" s="915"/>
      <c r="L31" s="915"/>
      <c r="M31" s="915"/>
      <c r="O31">
        <f>IF(S31="","",AA31)</f>
        <v>18</v>
      </c>
      <c r="P31" s="980"/>
      <c r="Q31" s="983"/>
      <c r="R31" s="158" t="s">
        <v>175</v>
      </c>
      <c r="S31" s="327">
        <v>143</v>
      </c>
      <c r="T31" s="319">
        <v>158</v>
      </c>
      <c r="U31" s="319">
        <v>165</v>
      </c>
      <c r="V31" s="319">
        <v>135</v>
      </c>
      <c r="W31" s="319">
        <v>126</v>
      </c>
      <c r="X31" s="159">
        <f>SUM(S31:W31)</f>
        <v>727</v>
      </c>
      <c r="Y31" s="165">
        <f>MAX(S31:W31)</f>
        <v>165</v>
      </c>
      <c r="Z31" s="317">
        <f>SUM(X31*1000)+Y31+0.29</f>
        <v>727165.29</v>
      </c>
      <c r="AA31" s="320">
        <f>IF(S31="","",RANK(Z31,Z6:Z65,0))</f>
        <v>18</v>
      </c>
      <c r="AB31" s="159"/>
      <c r="AC31" s="1022"/>
      <c r="AF31" s="155">
        <f t="shared" si="8"/>
        <v>26</v>
      </c>
      <c r="AG31" s="166" t="str">
        <f>IF(AE6&lt;26,"",VLOOKUP(26,O6:AA65,4,FALSE))</f>
        <v>KOVÁŘ JAROSLAV</v>
      </c>
      <c r="AH31" s="155">
        <f>IF(AE6&lt;26,"",VLOOKUP(26,O6:AA65,10,FALSE))</f>
        <v>673</v>
      </c>
      <c r="AI31" s="8"/>
      <c r="AK31">
        <f>IF(AO31="","",AW31)</f>
        <v>27</v>
      </c>
      <c r="AL31" s="980"/>
      <c r="AM31" s="983"/>
      <c r="AN31" s="240" t="s">
        <v>172</v>
      </c>
      <c r="AO31" s="327">
        <v>121</v>
      </c>
      <c r="AP31" s="319">
        <v>152</v>
      </c>
      <c r="AQ31" s="319">
        <v>148</v>
      </c>
      <c r="AR31" s="319">
        <v>121</v>
      </c>
      <c r="AS31" s="319">
        <v>144</v>
      </c>
      <c r="AT31" s="159">
        <f>SUM(AO31:AS31)</f>
        <v>686</v>
      </c>
      <c r="AU31" s="165">
        <f>MAX(AO31:AS31)</f>
        <v>152</v>
      </c>
      <c r="AV31" s="317">
        <f>SUM(AT31*1000)+AU31+0.29</f>
        <v>686152.29</v>
      </c>
      <c r="AW31" s="320">
        <f>IF(AO31="","",RANK(AV31,AV6:AV65,0))</f>
        <v>27</v>
      </c>
      <c r="AX31" s="159"/>
      <c r="AY31" s="1022"/>
      <c r="BB31" s="155">
        <f t="shared" si="9"/>
        <v>26</v>
      </c>
      <c r="BC31" s="166" t="str">
        <f>IF(BA6&lt;26,"",VLOOKUP(26,AK6:AW65,4,FALSE))</f>
        <v>BERGER MICHAL</v>
      </c>
      <c r="BD31" s="155">
        <f>IF(BA6&lt;26,"",VLOOKUP(26,AK6:AW65,10,FALSE))</f>
        <v>689</v>
      </c>
      <c r="BE31" s="8"/>
      <c r="BG31">
        <f>IF(BK31="","",BS31)</f>
        <v>24</v>
      </c>
      <c r="BH31" s="980"/>
      <c r="BI31" s="983"/>
      <c r="BJ31" s="257" t="s">
        <v>146</v>
      </c>
      <c r="BK31" s="344">
        <v>118</v>
      </c>
      <c r="BL31" s="345">
        <v>123</v>
      </c>
      <c r="BM31" s="345">
        <v>124</v>
      </c>
      <c r="BN31" s="345">
        <v>180</v>
      </c>
      <c r="BO31" s="345">
        <v>166</v>
      </c>
      <c r="BP31" s="159">
        <f>SUM(BK31:BO31)</f>
        <v>711</v>
      </c>
      <c r="BQ31" s="165">
        <f>MAX(BK31:BO31)</f>
        <v>180</v>
      </c>
      <c r="BR31" s="317">
        <f>SUM(BP31*1000)+BQ31+0.29</f>
        <v>711180.29</v>
      </c>
      <c r="BS31" s="320">
        <f>IF(BK31="","",RANK(BR31,BR6:BR65,0))</f>
        <v>24</v>
      </c>
      <c r="BT31" s="159"/>
      <c r="BU31" s="250"/>
      <c r="BV31" s="250"/>
      <c r="BW31" s="1022"/>
      <c r="BZ31" s="155">
        <f t="shared" si="10"/>
        <v>26</v>
      </c>
      <c r="CA31" s="166" t="str">
        <f>IF(BY6&lt;26,"",VLOOKUP(26,BG6:BS65,4,FALSE))</f>
        <v>KŘEMENÁK PETR</v>
      </c>
      <c r="CB31" s="155">
        <f>IF(BY6&lt;26,"",VLOOKUP(26,BG6:BS65,10,FALSE))</f>
        <v>703</v>
      </c>
      <c r="CC31" s="8"/>
      <c r="CE31">
        <f>IF(CI31="","",CQ31)</f>
        <v>8</v>
      </c>
      <c r="CF31" s="980"/>
      <c r="CG31" s="983"/>
      <c r="CH31" s="279" t="s">
        <v>200</v>
      </c>
      <c r="CI31" s="327">
        <v>131</v>
      </c>
      <c r="CJ31" s="327">
        <v>181</v>
      </c>
      <c r="CK31" s="327">
        <v>138</v>
      </c>
      <c r="CL31" s="327">
        <v>163</v>
      </c>
      <c r="CM31" s="327">
        <v>194</v>
      </c>
      <c r="CN31" s="159">
        <f>SUM(CI31:CM31)</f>
        <v>807</v>
      </c>
      <c r="CO31" s="165">
        <f>MAX(CI31:CM31)</f>
        <v>194</v>
      </c>
      <c r="CP31" s="317">
        <f>SUM(CN31*1000)+CO31+0.29</f>
        <v>807194.29</v>
      </c>
      <c r="CQ31" s="320">
        <f>IF(CI31="","",RANK(CP31,CP6:CP65,0))</f>
        <v>8</v>
      </c>
      <c r="CR31" s="159"/>
      <c r="CS31" s="250"/>
      <c r="CT31" s="250"/>
      <c r="CU31" s="1022"/>
      <c r="CX31" s="155">
        <f t="shared" si="11"/>
        <v>26</v>
      </c>
      <c r="CY31" s="166" t="str">
        <f>IF(CW6&lt;26,"",VLOOKUP(26,CE6:CQ65,4,FALSE))</f>
        <v>ČÍHAL FRANTIŠEK</v>
      </c>
      <c r="CZ31" s="155">
        <f>IF(CW6&lt;26,"",VLOOKUP(26,CE6:CQ65,10,FALSE))</f>
        <v>681</v>
      </c>
      <c r="DA31" s="8"/>
      <c r="DC31">
        <f>IF(DG31="","",DO31)</f>
        <v>6</v>
      </c>
      <c r="DD31" s="980"/>
      <c r="DE31" s="989"/>
      <c r="DF31" s="626" t="s">
        <v>100</v>
      </c>
      <c r="DG31" s="347">
        <v>172</v>
      </c>
      <c r="DH31" s="347">
        <v>144</v>
      </c>
      <c r="DI31" s="347">
        <v>173</v>
      </c>
      <c r="DJ31" s="347">
        <v>185</v>
      </c>
      <c r="DK31" s="347">
        <v>152</v>
      </c>
      <c r="DL31" s="159">
        <f>SUM(DG31:DK31)</f>
        <v>826</v>
      </c>
      <c r="DM31" s="165">
        <f>MAX(DG31:DK31)</f>
        <v>185</v>
      </c>
      <c r="DN31" s="317">
        <f>SUM(DL31*1000)+DM31+0.29</f>
        <v>826185.29</v>
      </c>
      <c r="DO31" s="320">
        <f>IF(DG31="","",RANK(DN31,DN6:DN65,0))</f>
        <v>6</v>
      </c>
      <c r="DP31" s="159"/>
      <c r="DQ31" s="250"/>
      <c r="DR31" s="250"/>
      <c r="DS31" s="1022"/>
      <c r="DV31" s="155">
        <f t="shared" si="12"/>
        <v>26</v>
      </c>
      <c r="DW31" s="166" t="str">
        <f>IF(DU6&lt;26,"",VLOOKUP(26,DC6:DO65,4,FALSE))</f>
        <v>Hübner Jiří</v>
      </c>
      <c r="DX31" s="155">
        <f>IF(DU6&lt;26,"",VLOOKUP(26,DC6:DO65,10,FALSE))</f>
        <v>703</v>
      </c>
      <c r="DY31" s="8"/>
      <c r="EA31">
        <f>IF(EE31="","",EM31)</f>
        <v>30</v>
      </c>
      <c r="EB31" s="980"/>
      <c r="EC31" s="1003"/>
      <c r="ED31" s="536" t="s">
        <v>97</v>
      </c>
      <c r="EE31" s="615">
        <v>123</v>
      </c>
      <c r="EF31" s="616">
        <v>137</v>
      </c>
      <c r="EG31" s="616">
        <v>137</v>
      </c>
      <c r="EH31" s="616">
        <v>142</v>
      </c>
      <c r="EI31" s="616">
        <v>125</v>
      </c>
      <c r="EJ31" s="159">
        <f>SUM(EE31:EI31)</f>
        <v>664</v>
      </c>
      <c r="EK31" s="165">
        <f>MAX(EE31:EI31)</f>
        <v>142</v>
      </c>
      <c r="EL31" s="317">
        <f>SUM(EJ31*1000)+EK31+0.29</f>
        <v>664142.29</v>
      </c>
      <c r="EM31" s="320">
        <f>IF(EE31="","",RANK(EL31,EL6:EL65,0))</f>
        <v>30</v>
      </c>
      <c r="EN31" s="159"/>
      <c r="EO31" s="250"/>
      <c r="EP31" s="250"/>
      <c r="EQ31" s="1025"/>
      <c r="ET31" s="155">
        <f t="shared" si="13"/>
        <v>26</v>
      </c>
      <c r="EU31" s="166" t="str">
        <f>IF(ES6&lt;26,"",VLOOKUP(26,EA6:EM65,4,FALSE))</f>
        <v>Radová Petra</v>
      </c>
      <c r="EV31" s="155">
        <f>IF(ES6&lt;26,"",VLOOKUP(26,EA6:EM65,10,FALSE))</f>
        <v>685</v>
      </c>
      <c r="EW31" s="8"/>
      <c r="EX31" s="8"/>
      <c r="EY31">
        <f>IF(FC31="","",FK31)</f>
        <v>34</v>
      </c>
      <c r="EZ31" s="1028"/>
      <c r="FA31" s="1031"/>
      <c r="FB31" s="782" t="s">
        <v>290</v>
      </c>
      <c r="FC31" s="703">
        <v>100</v>
      </c>
      <c r="FD31" s="703">
        <v>103</v>
      </c>
      <c r="FE31" s="703">
        <v>168</v>
      </c>
      <c r="FF31" s="703">
        <v>141</v>
      </c>
      <c r="FG31" s="703">
        <v>137</v>
      </c>
      <c r="FH31" s="704">
        <f>SUM(FC31:FG31)</f>
        <v>649</v>
      </c>
      <c r="FI31" s="700">
        <f>MAX(FC31:FG31)</f>
        <v>168</v>
      </c>
      <c r="FJ31" s="701">
        <f>SUM(FH31*1000)+FI31+0.29</f>
        <v>649168.29</v>
      </c>
      <c r="FK31" s="705">
        <f>IF(FC31="","",RANK(FJ31,FJ6:FJ65,0))</f>
        <v>34</v>
      </c>
      <c r="FL31" s="704"/>
      <c r="FM31" s="250"/>
      <c r="FN31" s="250"/>
      <c r="FO31" s="1057"/>
      <c r="FP31" s="8"/>
      <c r="FQ31" s="804"/>
      <c r="FR31" s="811">
        <f t="shared" si="14"/>
        <v>26</v>
      </c>
      <c r="FS31" s="809" t="str">
        <f>IF(FQ6&lt;26,"",VLOOKUP(26,EY6:FL65,4,FALSE))</f>
        <v>Kazda Jan</v>
      </c>
      <c r="FT31" s="808">
        <f>IF(FQ6&lt;26,"",VLOOKUP(26,EY6:FL65,10,FALSE))</f>
        <v>682</v>
      </c>
      <c r="FU31" s="8"/>
      <c r="FW31" t="str">
        <f>IF(GA31="","",GI31)</f>
        <v/>
      </c>
      <c r="FX31" s="980"/>
      <c r="FY31" s="983"/>
      <c r="FZ31" s="160"/>
      <c r="GA31" s="347"/>
      <c r="GB31" s="347"/>
      <c r="GC31" s="347"/>
      <c r="GD31" s="347"/>
      <c r="GE31" s="347"/>
      <c r="GF31" s="159">
        <f>SUM(GA31:GE31)</f>
        <v>0</v>
      </c>
      <c r="GG31" s="165">
        <f>MAX(GA31:GE31)</f>
        <v>0</v>
      </c>
      <c r="GH31" s="317">
        <f>SUM(GF31*1000)+GG31+0.29</f>
        <v>0.28999999999999998</v>
      </c>
      <c r="GI31" s="320" t="str">
        <f>IF(GA31="","",RANK(GH31,GH6:GH70,0))</f>
        <v/>
      </c>
      <c r="GJ31" s="159"/>
      <c r="GK31" s="250"/>
      <c r="GL31" s="250"/>
      <c r="GM31" s="1022"/>
      <c r="GP31" s="155">
        <f t="shared" si="15"/>
        <v>26</v>
      </c>
      <c r="GQ31" s="166" t="str">
        <f>IF(GO6&lt;26,"",VLOOKUP(26,FW6:GI70,4,FALSE))</f>
        <v/>
      </c>
      <c r="GR31" s="155" t="str">
        <f>IF(GO6&lt;26,"",VLOOKUP(26,FW6:GI70,10,FALSE))</f>
        <v/>
      </c>
    </row>
    <row r="32" spans="1:200" ht="15" customHeight="1">
      <c r="A32" s="915"/>
      <c r="B32" s="915"/>
      <c r="C32" s="915"/>
      <c r="D32" s="915"/>
      <c r="E32" s="915"/>
      <c r="F32" s="915"/>
      <c r="G32" s="915"/>
      <c r="H32" s="915"/>
      <c r="I32" s="915"/>
      <c r="J32" s="915"/>
      <c r="K32" s="915"/>
      <c r="L32" s="915"/>
      <c r="M32" s="915"/>
      <c r="O32">
        <f>IF(S32="","",AA32)</f>
        <v>16</v>
      </c>
      <c r="P32" s="980"/>
      <c r="Q32" s="983"/>
      <c r="R32" s="158" t="s">
        <v>176</v>
      </c>
      <c r="S32" s="327">
        <v>133</v>
      </c>
      <c r="T32" s="319">
        <v>162</v>
      </c>
      <c r="U32" s="319">
        <v>155</v>
      </c>
      <c r="V32" s="319">
        <v>128</v>
      </c>
      <c r="W32" s="319">
        <v>166</v>
      </c>
      <c r="X32" s="159">
        <f>SUM(S32:W32)</f>
        <v>744</v>
      </c>
      <c r="Y32" s="165">
        <f>MAX(S32:W32)</f>
        <v>166</v>
      </c>
      <c r="Z32" s="317">
        <f>SUM(X32*1000)+Y32+0.28</f>
        <v>744166.28</v>
      </c>
      <c r="AA32" s="320">
        <f>IF(S32="","",RANK(Z32,Z6:Z65,0))</f>
        <v>16</v>
      </c>
      <c r="AB32" s="159"/>
      <c r="AC32" s="1022"/>
      <c r="AF32" s="155">
        <f t="shared" si="8"/>
        <v>27</v>
      </c>
      <c r="AG32" s="166" t="str">
        <f>IF(AE6&lt;27,"",VLOOKUP(27,O6:AA65,4,FALSE))</f>
        <v>MOTTL PAVEL</v>
      </c>
      <c r="AH32" s="155">
        <f>IF(AE6&lt;27,"",VLOOKUP(27,O6:AA65,10,FALSE))</f>
        <v>664</v>
      </c>
      <c r="AI32" s="8"/>
      <c r="AK32">
        <f>IF(AO32="","",AW32)</f>
        <v>11</v>
      </c>
      <c r="AL32" s="980"/>
      <c r="AM32" s="983"/>
      <c r="AN32" s="241" t="s">
        <v>163</v>
      </c>
      <c r="AO32" s="327">
        <v>145</v>
      </c>
      <c r="AP32" s="319">
        <v>176</v>
      </c>
      <c r="AQ32" s="319">
        <v>138</v>
      </c>
      <c r="AR32" s="319">
        <v>173</v>
      </c>
      <c r="AS32" s="319">
        <v>183</v>
      </c>
      <c r="AT32" s="159">
        <f>SUM(AO32:AS32)</f>
        <v>815</v>
      </c>
      <c r="AU32" s="165">
        <f>MAX(AO32:AS32)</f>
        <v>183</v>
      </c>
      <c r="AV32" s="317">
        <f>SUM(AT32*1000)+AU32+0.28</f>
        <v>815183.28</v>
      </c>
      <c r="AW32" s="320">
        <f>IF(AO32="","",RANK(AV32,AV6:AV65,0))</f>
        <v>11</v>
      </c>
      <c r="AX32" s="159"/>
      <c r="AY32" s="1022"/>
      <c r="BB32" s="155">
        <f t="shared" si="9"/>
        <v>27</v>
      </c>
      <c r="BC32" s="166" t="str">
        <f>IF(BA6&lt;27,"",VLOOKUP(27,AK6:AW65,4,FALSE))</f>
        <v>RADOVÁ PETRA</v>
      </c>
      <c r="BD32" s="155">
        <f>IF(BA6&lt;27,"",VLOOKUP(27,AK6:AW65,10,FALSE))</f>
        <v>686</v>
      </c>
      <c r="BE32" s="8"/>
      <c r="BG32">
        <f>IF(BK32="","",BS32)</f>
        <v>47</v>
      </c>
      <c r="BH32" s="980"/>
      <c r="BI32" s="983"/>
      <c r="BJ32" s="257" t="s">
        <v>139</v>
      </c>
      <c r="BK32" s="344">
        <v>115</v>
      </c>
      <c r="BL32" s="345">
        <v>126</v>
      </c>
      <c r="BM32" s="345">
        <v>98</v>
      </c>
      <c r="BN32" s="345">
        <v>99</v>
      </c>
      <c r="BO32" s="345">
        <v>98</v>
      </c>
      <c r="BP32" s="159">
        <f>SUM(BK32:BO32)</f>
        <v>536</v>
      </c>
      <c r="BQ32" s="165">
        <f>MAX(BK32:BO32)</f>
        <v>126</v>
      </c>
      <c r="BR32" s="317">
        <f>SUM(BP32*1000)+BQ32+0.28</f>
        <v>536126.28</v>
      </c>
      <c r="BS32" s="320">
        <f>IF(BK32="","",RANK(BR32,BR6:BR65,0))</f>
        <v>47</v>
      </c>
      <c r="BT32" s="159"/>
      <c r="BU32" s="250"/>
      <c r="BV32" s="250"/>
      <c r="BW32" s="1022"/>
      <c r="BZ32" s="155">
        <f t="shared" si="10"/>
        <v>27</v>
      </c>
      <c r="CA32" s="166" t="str">
        <f>IF(BY6&lt;27,"",VLOOKUP(27,BG6:BS65,4,FALSE))</f>
        <v>HÁJEK MOJMÍR</v>
      </c>
      <c r="CB32" s="155">
        <f>IF(BY6&lt;27,"",VLOOKUP(27,BG6:BS65,10,FALSE))</f>
        <v>699</v>
      </c>
      <c r="CC32" s="8"/>
      <c r="CE32">
        <f>IF(CI32="","",CQ32)</f>
        <v>32</v>
      </c>
      <c r="CF32" s="980"/>
      <c r="CG32" s="983"/>
      <c r="CH32" s="279" t="s">
        <v>201</v>
      </c>
      <c r="CI32" s="327">
        <v>124</v>
      </c>
      <c r="CJ32" s="327">
        <v>144</v>
      </c>
      <c r="CK32" s="327">
        <v>114</v>
      </c>
      <c r="CL32" s="327">
        <v>113</v>
      </c>
      <c r="CM32" s="327">
        <v>143</v>
      </c>
      <c r="CN32" s="159">
        <f>SUM(CI32:CM32)</f>
        <v>638</v>
      </c>
      <c r="CO32" s="165">
        <f>MAX(CI32:CM32)</f>
        <v>144</v>
      </c>
      <c r="CP32" s="317">
        <f>SUM(CN32*1000)+CO32+0.28</f>
        <v>638144.28</v>
      </c>
      <c r="CQ32" s="320">
        <f>IF(CI32="","",RANK(CP32,CP6:CP65,0))</f>
        <v>32</v>
      </c>
      <c r="CR32" s="159"/>
      <c r="CS32" s="250"/>
      <c r="CT32" s="250"/>
      <c r="CU32" s="1022"/>
      <c r="CX32" s="155">
        <f t="shared" si="11"/>
        <v>27</v>
      </c>
      <c r="CY32" s="166" t="str">
        <f>IF(CW6&lt;27,"",VLOOKUP(27,CE6:CQ65,4,FALSE))</f>
        <v>BOŠEK JAN</v>
      </c>
      <c r="CZ32" s="155">
        <f>IF(CW6&lt;27,"",VLOOKUP(27,CE6:CQ65,10,FALSE))</f>
        <v>675</v>
      </c>
      <c r="DA32" s="8"/>
      <c r="DC32">
        <f>IF(DG32="","",DO32)</f>
        <v>2</v>
      </c>
      <c r="DD32" s="980"/>
      <c r="DE32" s="989"/>
      <c r="DF32" s="538" t="s">
        <v>60</v>
      </c>
      <c r="DG32" s="347">
        <v>235</v>
      </c>
      <c r="DH32" s="347">
        <v>146</v>
      </c>
      <c r="DI32" s="347">
        <v>166</v>
      </c>
      <c r="DJ32" s="347">
        <v>187</v>
      </c>
      <c r="DK32" s="347">
        <v>178</v>
      </c>
      <c r="DL32" s="159">
        <f>SUM(DG32:DK32)</f>
        <v>912</v>
      </c>
      <c r="DM32" s="165">
        <f>MAX(DG32:DK32)</f>
        <v>235</v>
      </c>
      <c r="DN32" s="317">
        <f>SUM(DL32*1000)+DM32+0.28</f>
        <v>912235.28</v>
      </c>
      <c r="DO32" s="320">
        <f>IF(DG32="","",RANK(DN32,DN6:DN65,0))</f>
        <v>2</v>
      </c>
      <c r="DP32" s="159"/>
      <c r="DQ32" s="250"/>
      <c r="DR32" s="250"/>
      <c r="DS32" s="1022"/>
      <c r="DV32" s="155">
        <f t="shared" si="12"/>
        <v>27</v>
      </c>
      <c r="DW32" s="166" t="str">
        <f>IF(DU6&lt;27,"",VLOOKUP(27,DC6:DO65,4,FALSE))</f>
        <v>Mysliveček Jaroslav</v>
      </c>
      <c r="DX32" s="155">
        <f>IF(DU6&lt;27,"",VLOOKUP(27,DC6:DO65,10,FALSE))</f>
        <v>701</v>
      </c>
      <c r="DY32" s="8"/>
      <c r="EA32">
        <f>IF(EE32="","",EM32)</f>
        <v>13</v>
      </c>
      <c r="EB32" s="980"/>
      <c r="EC32" s="1003"/>
      <c r="ED32" s="536" t="s">
        <v>16</v>
      </c>
      <c r="EE32" s="615">
        <v>134</v>
      </c>
      <c r="EF32" s="616">
        <v>142</v>
      </c>
      <c r="EG32" s="616">
        <v>134</v>
      </c>
      <c r="EH32" s="616">
        <v>164</v>
      </c>
      <c r="EI32" s="616">
        <v>201</v>
      </c>
      <c r="EJ32" s="159">
        <f>SUM(EE32:EI32)</f>
        <v>775</v>
      </c>
      <c r="EK32" s="165">
        <f>MAX(EE32:EI32)</f>
        <v>201</v>
      </c>
      <c r="EL32" s="317">
        <f>SUM(EJ32*1000)+EK32+0.28</f>
        <v>775201.28000000003</v>
      </c>
      <c r="EM32" s="320">
        <f>IF(EE32="","",RANK(EL32,EL6:EL65,0))</f>
        <v>13</v>
      </c>
      <c r="EN32" s="159"/>
      <c r="EO32" s="250"/>
      <c r="EP32" s="250"/>
      <c r="EQ32" s="1025"/>
      <c r="ET32" s="155">
        <f t="shared" si="13"/>
        <v>27</v>
      </c>
      <c r="EU32" s="166" t="str">
        <f>IF(ES6&lt;27,"",VLOOKUP(27,EA6:EM65,4,FALSE))</f>
        <v>Hübner Jiří</v>
      </c>
      <c r="EV32" s="155">
        <f>IF(ES6&lt;27,"",VLOOKUP(27,EA6:EM65,10,FALSE))</f>
        <v>677</v>
      </c>
      <c r="EW32" s="8"/>
      <c r="EX32" s="8"/>
      <c r="EY32">
        <f>IF(FC32="","",FK32)</f>
        <v>10</v>
      </c>
      <c r="EZ32" s="1028"/>
      <c r="FA32" s="1031"/>
      <c r="FB32" s="782" t="s">
        <v>82</v>
      </c>
      <c r="FC32" s="703">
        <v>200</v>
      </c>
      <c r="FD32" s="703">
        <v>138</v>
      </c>
      <c r="FE32" s="703">
        <v>144</v>
      </c>
      <c r="FF32" s="703">
        <v>163</v>
      </c>
      <c r="FG32" s="703">
        <v>164</v>
      </c>
      <c r="FH32" s="704">
        <f>SUM(FC32:FG32)</f>
        <v>809</v>
      </c>
      <c r="FI32" s="700">
        <f>MAX(FC32:FG32)</f>
        <v>200</v>
      </c>
      <c r="FJ32" s="701">
        <f>SUM(FH32*1000)+FI32+0.28</f>
        <v>809200.28</v>
      </c>
      <c r="FK32" s="705">
        <f>IF(FC32="","",RANK(FJ32,FJ6:FJ65,0))</f>
        <v>10</v>
      </c>
      <c r="FL32" s="704"/>
      <c r="FM32" s="250"/>
      <c r="FN32" s="250"/>
      <c r="FO32" s="1057"/>
      <c r="FP32" s="8"/>
      <c r="FQ32" s="804"/>
      <c r="FR32" s="811">
        <f t="shared" si="14"/>
        <v>27</v>
      </c>
      <c r="FS32" s="809" t="str">
        <f>IF(FQ6&lt;27,"",VLOOKUP(27,EY6:FL65,4,FALSE))</f>
        <v>Brejcha Jaroslav</v>
      </c>
      <c r="FT32" s="808">
        <f>IF(FQ6&lt;27,"",VLOOKUP(27,EY6:FL65,10,FALSE))</f>
        <v>681</v>
      </c>
      <c r="FU32" s="8"/>
      <c r="FW32" t="str">
        <f>IF(GA32="","",GI32)</f>
        <v/>
      </c>
      <c r="FX32" s="980"/>
      <c r="FY32" s="983"/>
      <c r="FZ32" s="160"/>
      <c r="GA32" s="347"/>
      <c r="GB32" s="347"/>
      <c r="GC32" s="347"/>
      <c r="GD32" s="347"/>
      <c r="GE32" s="347"/>
      <c r="GF32" s="159">
        <f>SUM(GA32:GE32)</f>
        <v>0</v>
      </c>
      <c r="GG32" s="165">
        <f>MAX(GA32:GE32)</f>
        <v>0</v>
      </c>
      <c r="GH32" s="317">
        <f>SUM(GF32*1000)+GG32+0.28</f>
        <v>0.28000000000000003</v>
      </c>
      <c r="GI32" s="320" t="str">
        <f>IF(GA32="","",RANK(GH32,GH6:GH70,0))</f>
        <v/>
      </c>
      <c r="GJ32" s="159"/>
      <c r="GK32" s="250"/>
      <c r="GL32" s="250"/>
      <c r="GM32" s="1022"/>
      <c r="GP32" s="155">
        <f t="shared" si="15"/>
        <v>27</v>
      </c>
      <c r="GQ32" s="166" t="str">
        <f>IF(GO6&lt;27,"",VLOOKUP(27,FW6:GI70,4,FALSE))</f>
        <v/>
      </c>
      <c r="GR32" s="155" t="str">
        <f>IF(GO6&lt;27,"",VLOOKUP(27,FW6:GI70,10,FALSE))</f>
        <v/>
      </c>
    </row>
    <row r="33" spans="1:200" ht="15" customHeight="1">
      <c r="A33" s="915"/>
      <c r="B33" s="915"/>
      <c r="C33" s="915"/>
      <c r="D33" s="915"/>
      <c r="E33" s="915"/>
      <c r="F33" s="915"/>
      <c r="G33" s="915"/>
      <c r="H33" s="915"/>
      <c r="I33" s="915"/>
      <c r="J33" s="915"/>
      <c r="K33" s="915"/>
      <c r="L33" s="915"/>
      <c r="M33" s="915"/>
      <c r="O33">
        <f>IF(S33="","",AA33)</f>
        <v>1</v>
      </c>
      <c r="P33" s="980"/>
      <c r="Q33" s="983"/>
      <c r="R33" s="167" t="s">
        <v>177</v>
      </c>
      <c r="S33" s="327">
        <v>188</v>
      </c>
      <c r="T33" s="319">
        <v>156</v>
      </c>
      <c r="U33" s="319">
        <v>153</v>
      </c>
      <c r="V33" s="319">
        <v>231</v>
      </c>
      <c r="W33" s="319">
        <v>200</v>
      </c>
      <c r="X33" s="159">
        <f>SUM(S33:W33)</f>
        <v>928</v>
      </c>
      <c r="Y33" s="165">
        <f>MAX(S33:W33)</f>
        <v>231</v>
      </c>
      <c r="Z33" s="317">
        <f>SUM(X33*1000)+Y33+0.27</f>
        <v>928231.27</v>
      </c>
      <c r="AA33" s="320">
        <f>IF(S33="","",RANK(Z33,Z6:Z65,0))</f>
        <v>1</v>
      </c>
      <c r="AB33" s="159"/>
      <c r="AC33" s="1022"/>
      <c r="AF33" s="155">
        <f t="shared" si="8"/>
        <v>28</v>
      </c>
      <c r="AG33" s="166" t="str">
        <f>IF(AE6&lt;28,"",VLOOKUP(28,O6:AA65,4,FALSE))</f>
        <v>TÁBORSKÝ LUKÁŠ</v>
      </c>
      <c r="AH33" s="155">
        <f>IF(AE6&lt;28,"",VLOOKUP(28,O6:AA65,10,FALSE))</f>
        <v>661</v>
      </c>
      <c r="AI33" s="8"/>
      <c r="AK33">
        <f>IF(AO33="","",AW33)</f>
        <v>10</v>
      </c>
      <c r="AL33" s="980"/>
      <c r="AM33" s="983"/>
      <c r="AN33" s="238" t="s">
        <v>165</v>
      </c>
      <c r="AO33" s="327">
        <v>167</v>
      </c>
      <c r="AP33" s="319">
        <v>172</v>
      </c>
      <c r="AQ33" s="319">
        <v>158</v>
      </c>
      <c r="AR33" s="319">
        <v>151</v>
      </c>
      <c r="AS33" s="319">
        <v>178</v>
      </c>
      <c r="AT33" s="159">
        <f>SUM(AO33:AS33)</f>
        <v>826</v>
      </c>
      <c r="AU33" s="165">
        <f>MAX(AO33:AS33)</f>
        <v>178</v>
      </c>
      <c r="AV33" s="317">
        <f>SUM(AT33*1000)+AU33+0.27</f>
        <v>826178.27</v>
      </c>
      <c r="AW33" s="320">
        <f>IF(AO33="","",RANK(AV33,AV6:AV65,0))</f>
        <v>10</v>
      </c>
      <c r="AX33" s="159"/>
      <c r="AY33" s="1022"/>
      <c r="BB33" s="155">
        <f t="shared" si="9"/>
        <v>28</v>
      </c>
      <c r="BC33" s="166" t="str">
        <f>IF(BA6&lt;28,"",VLOOKUP(28,AK6:AW65,4,FALSE))</f>
        <v>LOKVENC JIŘÍ</v>
      </c>
      <c r="BD33" s="155">
        <f>IF(BA6&lt;28,"",VLOOKUP(28,AK6:AW65,10,FALSE))</f>
        <v>686</v>
      </c>
      <c r="BE33" s="8"/>
      <c r="BG33">
        <f>IF(BK33="","",BS33)</f>
        <v>6</v>
      </c>
      <c r="BH33" s="980"/>
      <c r="BI33" s="983"/>
      <c r="BJ33" s="258" t="s">
        <v>154</v>
      </c>
      <c r="BK33" s="344">
        <v>201</v>
      </c>
      <c r="BL33" s="345">
        <v>153</v>
      </c>
      <c r="BM33" s="345">
        <v>168</v>
      </c>
      <c r="BN33" s="345">
        <v>197</v>
      </c>
      <c r="BO33" s="345">
        <v>119</v>
      </c>
      <c r="BP33" s="159">
        <f>SUM(BK33:BO33)</f>
        <v>838</v>
      </c>
      <c r="BQ33" s="165">
        <f>MAX(BK33:BO33)</f>
        <v>201</v>
      </c>
      <c r="BR33" s="317">
        <f>SUM(BP33*1000)+BQ33+0.27</f>
        <v>838201.27</v>
      </c>
      <c r="BS33" s="320">
        <f>IF(BK33="","",RANK(BR33,BR6:BR65,0))</f>
        <v>6</v>
      </c>
      <c r="BT33" s="159"/>
      <c r="BU33" s="250"/>
      <c r="BV33" s="250"/>
      <c r="BW33" s="1022"/>
      <c r="BZ33" s="155">
        <f t="shared" si="10"/>
        <v>28</v>
      </c>
      <c r="CA33" s="166" t="str">
        <f>IF(BY6&lt;28,"",VLOOKUP(28,BG6:BS65,4,FALSE))</f>
        <v>RADOVÁ PETRA</v>
      </c>
      <c r="CB33" s="155">
        <f>IF(BY6&lt;28,"",VLOOKUP(28,BG6:BS65,10,FALSE))</f>
        <v>684</v>
      </c>
      <c r="CC33" s="8"/>
      <c r="CE33">
        <f>IF(CI33="","",CQ33)</f>
        <v>38</v>
      </c>
      <c r="CF33" s="980"/>
      <c r="CG33" s="983"/>
      <c r="CH33" s="280" t="s">
        <v>206</v>
      </c>
      <c r="CI33" s="327">
        <v>91</v>
      </c>
      <c r="CJ33" s="327">
        <v>121</v>
      </c>
      <c r="CK33" s="327">
        <v>130</v>
      </c>
      <c r="CL33" s="327">
        <v>129</v>
      </c>
      <c r="CM33" s="327">
        <v>123</v>
      </c>
      <c r="CN33" s="159">
        <f>SUM(CI33:CM33)</f>
        <v>594</v>
      </c>
      <c r="CO33" s="165">
        <f>MAX(CI33:CM33)</f>
        <v>130</v>
      </c>
      <c r="CP33" s="317">
        <f>SUM(CN33*1000)+CO33+0.27</f>
        <v>594130.27</v>
      </c>
      <c r="CQ33" s="320">
        <f>IF(CI33="","",RANK(CP33,CP6:CP65,0))</f>
        <v>38</v>
      </c>
      <c r="CR33" s="159"/>
      <c r="CS33" s="250"/>
      <c r="CT33" s="250"/>
      <c r="CU33" s="1022"/>
      <c r="CX33" s="155">
        <f t="shared" si="11"/>
        <v>28</v>
      </c>
      <c r="CY33" s="166" t="str">
        <f>IF(CW6&lt;28,"",VLOOKUP(28,CE6:CQ65,4,FALSE))</f>
        <v>JELÍNEK JAN</v>
      </c>
      <c r="CZ33" s="155">
        <f>IF(CW6&lt;28,"",VLOOKUP(28,CE6:CQ65,10,FALSE))</f>
        <v>666</v>
      </c>
      <c r="DA33" s="8"/>
      <c r="DC33">
        <f>IF(DG33="","",DO33)</f>
        <v>29</v>
      </c>
      <c r="DD33" s="980"/>
      <c r="DE33" s="989"/>
      <c r="DF33" s="538" t="s">
        <v>93</v>
      </c>
      <c r="DG33" s="347">
        <v>152</v>
      </c>
      <c r="DH33" s="347">
        <v>107</v>
      </c>
      <c r="DI33" s="347">
        <v>148</v>
      </c>
      <c r="DJ33" s="347">
        <v>164</v>
      </c>
      <c r="DK33" s="347">
        <v>117</v>
      </c>
      <c r="DL33" s="159">
        <f>SUM(DG33:DK33)</f>
        <v>688</v>
      </c>
      <c r="DM33" s="165">
        <f>MAX(DG33:DK33)</f>
        <v>164</v>
      </c>
      <c r="DN33" s="317">
        <f>SUM(DL33*1000)+DM33+0.27</f>
        <v>688164.27</v>
      </c>
      <c r="DO33" s="320">
        <f>IF(DG33="","",RANK(DN33,DN6:DN65,0))</f>
        <v>29</v>
      </c>
      <c r="DP33" s="159"/>
      <c r="DQ33" s="250"/>
      <c r="DR33" s="250"/>
      <c r="DS33" s="1022"/>
      <c r="DV33" s="155">
        <f t="shared" si="12"/>
        <v>28</v>
      </c>
      <c r="DW33" s="166" t="str">
        <f>IF(DU6&lt;28,"",VLOOKUP(28,DC6:DO65,4,FALSE))</f>
        <v>Pospíšil Lukáš</v>
      </c>
      <c r="DX33" s="155">
        <f>IF(DU6&lt;28,"",VLOOKUP(28,DC6:DO65,10,FALSE))</f>
        <v>697</v>
      </c>
      <c r="DY33" s="8"/>
      <c r="EA33">
        <f>IF(EE33="","",EM33)</f>
        <v>2</v>
      </c>
      <c r="EB33" s="980"/>
      <c r="EC33" s="1003"/>
      <c r="ED33" s="536" t="s">
        <v>222</v>
      </c>
      <c r="EE33" s="615">
        <v>191</v>
      </c>
      <c r="EF33" s="616">
        <v>145</v>
      </c>
      <c r="EG33" s="616">
        <v>197</v>
      </c>
      <c r="EH33" s="616">
        <v>156</v>
      </c>
      <c r="EI33" s="616">
        <v>212</v>
      </c>
      <c r="EJ33" s="159">
        <f>SUM(EE33:EI33)</f>
        <v>901</v>
      </c>
      <c r="EK33" s="165">
        <f>MAX(EE33:EI33)</f>
        <v>212</v>
      </c>
      <c r="EL33" s="317">
        <f>SUM(EJ33*1000)+EK33+0.27</f>
        <v>901212.27</v>
      </c>
      <c r="EM33" s="320">
        <f>IF(EE33="","",RANK(EL33,EL6:EL65,0))</f>
        <v>2</v>
      </c>
      <c r="EN33" s="159"/>
      <c r="EO33" s="250"/>
      <c r="EP33" s="250"/>
      <c r="EQ33" s="1025"/>
      <c r="ET33" s="155">
        <f t="shared" si="13"/>
        <v>28</v>
      </c>
      <c r="EU33" s="166" t="str">
        <f>IF(ES6&lt;28,"",VLOOKUP(28,EA6:EM65,4,FALSE))</f>
        <v>Turek Stanislav</v>
      </c>
      <c r="EV33" s="155">
        <f>IF(ES6&lt;28,"",VLOOKUP(28,EA6:EM65,10,FALSE))</f>
        <v>674</v>
      </c>
      <c r="EW33" s="8"/>
      <c r="EX33" s="8"/>
      <c r="EY33">
        <f>IF(FC33="","",FK33)</f>
        <v>30</v>
      </c>
      <c r="EZ33" s="1028"/>
      <c r="FA33" s="1031"/>
      <c r="FB33" s="782" t="s">
        <v>9</v>
      </c>
      <c r="FC33" s="703">
        <v>120</v>
      </c>
      <c r="FD33" s="703">
        <v>141</v>
      </c>
      <c r="FE33" s="703">
        <v>116</v>
      </c>
      <c r="FF33" s="703">
        <v>136</v>
      </c>
      <c r="FG33" s="703">
        <v>156</v>
      </c>
      <c r="FH33" s="704">
        <f>SUM(FC33:FG33)</f>
        <v>669</v>
      </c>
      <c r="FI33" s="700">
        <f>MAX(FC33:FG33)</f>
        <v>156</v>
      </c>
      <c r="FJ33" s="701">
        <f>SUM(FH33*1000)+FI33+0.27</f>
        <v>669156.27</v>
      </c>
      <c r="FK33" s="705">
        <f>IF(FC33="","",RANK(FJ33,FJ6:FJ65,0))</f>
        <v>30</v>
      </c>
      <c r="FL33" s="704"/>
      <c r="FM33" s="250"/>
      <c r="FN33" s="250"/>
      <c r="FO33" s="1057"/>
      <c r="FP33" s="8"/>
      <c r="FQ33" s="804"/>
      <c r="FR33" s="811">
        <f t="shared" si="14"/>
        <v>28</v>
      </c>
      <c r="FS33" s="809" t="str">
        <f>IF(FQ6&lt;28,"",VLOOKUP(28,EY6:FL65,4,FALSE))</f>
        <v>Radová Petra</v>
      </c>
      <c r="FT33" s="808">
        <f>IF(FQ6&lt;28,"",VLOOKUP(28,EY6:FL65,10,FALSE))</f>
        <v>675</v>
      </c>
      <c r="FU33" s="8"/>
      <c r="FW33" t="str">
        <f>IF(GA33="","",GI33)</f>
        <v/>
      </c>
      <c r="FX33" s="980"/>
      <c r="FY33" s="983"/>
      <c r="FZ33" s="160"/>
      <c r="GA33" s="347"/>
      <c r="GB33" s="347"/>
      <c r="GC33" s="347"/>
      <c r="GD33" s="347"/>
      <c r="GE33" s="347"/>
      <c r="GF33" s="159">
        <f>SUM(GA33:GE33)</f>
        <v>0</v>
      </c>
      <c r="GG33" s="165">
        <f>MAX(GA33:GE33)</f>
        <v>0</v>
      </c>
      <c r="GH33" s="317">
        <f>SUM(GF33*1000)+GG33+0.27</f>
        <v>0.27</v>
      </c>
      <c r="GI33" s="320" t="str">
        <f>IF(GA33="","",RANK(GH33,GH6:GH70,0))</f>
        <v/>
      </c>
      <c r="GJ33" s="159"/>
      <c r="GK33" s="250"/>
      <c r="GL33" s="250"/>
      <c r="GM33" s="1022"/>
      <c r="GP33" s="155">
        <f t="shared" si="15"/>
        <v>28</v>
      </c>
      <c r="GQ33" s="166" t="str">
        <f>IF(GO6&lt;28,"",VLOOKUP(28,FW6:GI70,4,FALSE))</f>
        <v/>
      </c>
      <c r="GR33" s="155" t="str">
        <f>IF(GO6&lt;28,"",VLOOKUP(28,FW6:GI70,10,FALSE))</f>
        <v/>
      </c>
    </row>
    <row r="34" spans="1:200" ht="15" customHeight="1">
      <c r="A34" s="915"/>
      <c r="B34" s="915"/>
      <c r="C34" s="915"/>
      <c r="D34" s="915"/>
      <c r="E34" s="915"/>
      <c r="F34" s="915"/>
      <c r="G34" s="915"/>
      <c r="H34" s="915"/>
      <c r="I34" s="915"/>
      <c r="J34" s="915"/>
      <c r="K34" s="915"/>
      <c r="L34" s="915"/>
      <c r="M34" s="915"/>
      <c r="O34">
        <f>IF(S34="","",AA34)</f>
        <v>5</v>
      </c>
      <c r="P34" s="980"/>
      <c r="Q34" s="983"/>
      <c r="R34" s="167" t="s">
        <v>178</v>
      </c>
      <c r="S34" s="327">
        <v>159</v>
      </c>
      <c r="T34" s="319">
        <v>160</v>
      </c>
      <c r="U34" s="319">
        <v>165</v>
      </c>
      <c r="V34" s="319">
        <v>176</v>
      </c>
      <c r="W34" s="319">
        <v>187</v>
      </c>
      <c r="X34" s="159">
        <f>SUM(S34:W34)</f>
        <v>847</v>
      </c>
      <c r="Y34" s="165">
        <f>MAX(S34:W34)</f>
        <v>187</v>
      </c>
      <c r="Z34" s="317">
        <f>SUM(X34*1000)+Y34+0.26</f>
        <v>847187.26</v>
      </c>
      <c r="AA34" s="320">
        <f>IF(S34="","",RANK(Z34,Z6:Z65,0))</f>
        <v>5</v>
      </c>
      <c r="AB34" s="159"/>
      <c r="AC34" s="1022"/>
      <c r="AF34" s="155">
        <f t="shared" si="8"/>
        <v>29</v>
      </c>
      <c r="AG34" s="166" t="str">
        <f>IF(AE6&lt;29,"",VLOOKUP(29,O6:AA65,4,FALSE))</f>
        <v>BROŽ STANISLAV</v>
      </c>
      <c r="AH34" s="155">
        <f>IF(AE6&lt;29,"",VLOOKUP(29,O6:AA65,10,FALSE))</f>
        <v>657</v>
      </c>
      <c r="AI34" s="8"/>
      <c r="AK34">
        <f>IF(AO34="","",AW34)</f>
        <v>7</v>
      </c>
      <c r="AL34" s="980"/>
      <c r="AM34" s="983"/>
      <c r="AN34" s="237" t="s">
        <v>166</v>
      </c>
      <c r="AO34" s="327">
        <v>156</v>
      </c>
      <c r="AP34" s="319">
        <v>180</v>
      </c>
      <c r="AQ34" s="319">
        <v>178</v>
      </c>
      <c r="AR34" s="319">
        <v>184</v>
      </c>
      <c r="AS34" s="319">
        <v>162</v>
      </c>
      <c r="AT34" s="159">
        <f>SUM(AO34:AS34)</f>
        <v>860</v>
      </c>
      <c r="AU34" s="165">
        <f>MAX(AO34:AS34)</f>
        <v>184</v>
      </c>
      <c r="AV34" s="317">
        <f>SUM(AT34*1000)+AU34+0.26</f>
        <v>860184.26</v>
      </c>
      <c r="AW34" s="320">
        <f>IF(AO34="","",RANK(AV34,AV6:AV65,0))</f>
        <v>7</v>
      </c>
      <c r="AX34" s="159"/>
      <c r="AY34" s="1022"/>
      <c r="BB34" s="155">
        <f t="shared" si="9"/>
        <v>29</v>
      </c>
      <c r="BC34" s="166" t="str">
        <f>IF(BA6&lt;29,"",VLOOKUP(29,AK6:AW65,4,FALSE))</f>
        <v>POSPÍŠIL LUKÁŠ</v>
      </c>
      <c r="BD34" s="155">
        <f>IF(BA6&lt;29,"",VLOOKUP(29,AK6:AW65,10,FALSE))</f>
        <v>683</v>
      </c>
      <c r="BE34" s="8"/>
      <c r="BG34">
        <f>IF(BK34="","",BS34)</f>
        <v>21</v>
      </c>
      <c r="BH34" s="980"/>
      <c r="BI34" s="983"/>
      <c r="BJ34" s="258" t="s">
        <v>143</v>
      </c>
      <c r="BK34" s="344">
        <v>126</v>
      </c>
      <c r="BL34" s="345">
        <v>152</v>
      </c>
      <c r="BM34" s="345">
        <v>146</v>
      </c>
      <c r="BN34" s="345">
        <v>159</v>
      </c>
      <c r="BO34" s="345">
        <v>144</v>
      </c>
      <c r="BP34" s="159">
        <f>SUM(BK34:BO34)</f>
        <v>727</v>
      </c>
      <c r="BQ34" s="165">
        <f>MAX(BK34:BO34)</f>
        <v>159</v>
      </c>
      <c r="BR34" s="317">
        <f>SUM(BP34*1000)+BQ34+0.26</f>
        <v>727159.26</v>
      </c>
      <c r="BS34" s="320">
        <f>IF(BK34="","",RANK(BR34,BR6:BR65,0))</f>
        <v>21</v>
      </c>
      <c r="BT34" s="159"/>
      <c r="BU34" s="250"/>
      <c r="BV34" s="250"/>
      <c r="BW34" s="1022"/>
      <c r="BZ34" s="155">
        <f t="shared" si="10"/>
        <v>29</v>
      </c>
      <c r="CA34" s="166" t="str">
        <f>IF(BY6&lt;29,"",VLOOKUP(29,BG6:BS65,4,FALSE))</f>
        <v>BREJCHA JAROSLAV</v>
      </c>
      <c r="CB34" s="155">
        <f>IF(BY6&lt;29,"",VLOOKUP(29,BG6:BS65,10,FALSE))</f>
        <v>683</v>
      </c>
      <c r="CC34" s="8"/>
      <c r="CE34">
        <f>IF(CI34="","",CQ34)</f>
        <v>11</v>
      </c>
      <c r="CF34" s="980"/>
      <c r="CG34" s="983"/>
      <c r="CH34" s="280" t="s">
        <v>256</v>
      </c>
      <c r="CI34" s="327">
        <v>153</v>
      </c>
      <c r="CJ34" s="327">
        <v>136</v>
      </c>
      <c r="CK34" s="327">
        <v>184</v>
      </c>
      <c r="CL34" s="327">
        <v>167</v>
      </c>
      <c r="CM34" s="327">
        <v>139</v>
      </c>
      <c r="CN34" s="159">
        <f>SUM(CI34:CM34)</f>
        <v>779</v>
      </c>
      <c r="CO34" s="165">
        <f>MAX(CI34:CM34)</f>
        <v>184</v>
      </c>
      <c r="CP34" s="317">
        <f>SUM(CN34*1000)+CO34+0.26</f>
        <v>779184.26</v>
      </c>
      <c r="CQ34" s="320">
        <f>IF(CI34="","",RANK(CP34,CP6:CP65,0))</f>
        <v>11</v>
      </c>
      <c r="CR34" s="159"/>
      <c r="CS34" s="250"/>
      <c r="CT34" s="250"/>
      <c r="CU34" s="1022"/>
      <c r="CX34" s="155">
        <f t="shared" si="11"/>
        <v>29</v>
      </c>
      <c r="CY34" s="166" t="str">
        <f>IF(CW6&lt;29,"",VLOOKUP(29,CE6:CQ65,4,FALSE))</f>
        <v>BROŽ STANISLAV</v>
      </c>
      <c r="CZ34" s="155">
        <f>IF(CW6&lt;29,"",VLOOKUP(29,CE6:CQ65,10,FALSE))</f>
        <v>666</v>
      </c>
      <c r="DA34" s="8"/>
      <c r="DC34">
        <f>IF(DG34="","",DO34)</f>
        <v>11</v>
      </c>
      <c r="DD34" s="980"/>
      <c r="DE34" s="989"/>
      <c r="DF34" s="538" t="s">
        <v>106</v>
      </c>
      <c r="DG34" s="347">
        <v>150</v>
      </c>
      <c r="DH34" s="347">
        <v>162</v>
      </c>
      <c r="DI34" s="347">
        <v>181</v>
      </c>
      <c r="DJ34" s="347">
        <v>142</v>
      </c>
      <c r="DK34" s="347">
        <v>160</v>
      </c>
      <c r="DL34" s="159">
        <f>SUM(DG34:DK34)</f>
        <v>795</v>
      </c>
      <c r="DM34" s="165">
        <f>MAX(DG34:DK34)</f>
        <v>181</v>
      </c>
      <c r="DN34" s="317">
        <f>SUM(DL34*1000)+DM34+0.26</f>
        <v>795181.26</v>
      </c>
      <c r="DO34" s="320">
        <f>IF(DG34="","",RANK(DN34,DN6:DN65,0))</f>
        <v>11</v>
      </c>
      <c r="DP34" s="159"/>
      <c r="DQ34" s="250"/>
      <c r="DR34" s="250"/>
      <c r="DS34" s="1022"/>
      <c r="DV34" s="155">
        <f t="shared" si="12"/>
        <v>29</v>
      </c>
      <c r="DW34" s="166" t="str">
        <f>IF(DU6&lt;29,"",VLOOKUP(29,DC6:DO65,4,FALSE))</f>
        <v>Kovář Jaroslav</v>
      </c>
      <c r="DX34" s="155">
        <f>IF(DU6&lt;29,"",VLOOKUP(29,DC6:DO65,10,FALSE))</f>
        <v>688</v>
      </c>
      <c r="DY34" s="8"/>
      <c r="EA34">
        <f>IF(EE34="","",EM34)</f>
        <v>1</v>
      </c>
      <c r="EB34" s="980"/>
      <c r="EC34" s="1003"/>
      <c r="ED34" s="536" t="s">
        <v>2</v>
      </c>
      <c r="EE34" s="615">
        <v>213</v>
      </c>
      <c r="EF34" s="616">
        <v>186</v>
      </c>
      <c r="EG34" s="616">
        <v>202</v>
      </c>
      <c r="EH34" s="616">
        <v>186</v>
      </c>
      <c r="EI34" s="616">
        <v>175</v>
      </c>
      <c r="EJ34" s="159">
        <f>SUM(EE34:EI34)</f>
        <v>962</v>
      </c>
      <c r="EK34" s="165">
        <f>MAX(EE34:EI34)</f>
        <v>213</v>
      </c>
      <c r="EL34" s="317">
        <f>SUM(EJ34*1000)+EK34+0.26</f>
        <v>962213.26</v>
      </c>
      <c r="EM34" s="320">
        <f>IF(EE34="","",RANK(EL34,EL6:EL65,0))</f>
        <v>1</v>
      </c>
      <c r="EN34" s="159"/>
      <c r="EO34" s="250"/>
      <c r="EP34" s="250"/>
      <c r="EQ34" s="1025"/>
      <c r="ET34" s="155">
        <f t="shared" si="13"/>
        <v>29</v>
      </c>
      <c r="EU34" s="166" t="str">
        <f>IF(ES6&lt;29,"",VLOOKUP(29,EA6:EM65,4,FALSE))</f>
        <v>Mottl Pavel</v>
      </c>
      <c r="EV34" s="155">
        <f>IF(ES6&lt;29,"",VLOOKUP(29,EA6:EM65,10,FALSE))</f>
        <v>673</v>
      </c>
      <c r="EW34" s="8"/>
      <c r="EX34" s="8"/>
      <c r="EY34">
        <f>IF(FC34="","",FK34)</f>
        <v>9</v>
      </c>
      <c r="EZ34" s="1028"/>
      <c r="FA34" s="1031"/>
      <c r="FB34" s="783" t="s">
        <v>5</v>
      </c>
      <c r="FC34" s="706">
        <v>160</v>
      </c>
      <c r="FD34" s="706">
        <v>147</v>
      </c>
      <c r="FE34" s="706">
        <v>150</v>
      </c>
      <c r="FF34" s="706">
        <v>185</v>
      </c>
      <c r="FG34" s="706">
        <v>168</v>
      </c>
      <c r="FH34" s="707">
        <f>SUM(FC34:FG34)</f>
        <v>810</v>
      </c>
      <c r="FI34" s="708">
        <f>MAX(FC34:FG34)</f>
        <v>185</v>
      </c>
      <c r="FJ34" s="709">
        <f>SUM(FH34*1000)+FI34+0.26</f>
        <v>810185.26</v>
      </c>
      <c r="FK34" s="710">
        <f>IF(FC34="","",RANK(FJ34,FJ6:FJ65,0))</f>
        <v>9</v>
      </c>
      <c r="FL34" s="707"/>
      <c r="FM34" s="250"/>
      <c r="FN34" s="250"/>
      <c r="FO34" s="1057"/>
      <c r="FP34" s="8"/>
      <c r="FQ34" s="804"/>
      <c r="FR34" s="811">
        <f t="shared" si="14"/>
        <v>29</v>
      </c>
      <c r="FS34" s="809" t="str">
        <f>IF(FQ6&lt;29,"",VLOOKUP(29,EY6:FL65,4,FALSE))</f>
        <v>Kollár Pavel</v>
      </c>
      <c r="FT34" s="808">
        <f>IF(FQ6&lt;29,"",VLOOKUP(29,EY6:FL65,10,FALSE))</f>
        <v>672</v>
      </c>
      <c r="FU34" s="8"/>
      <c r="FW34" t="str">
        <f>IF(GA34="","",GI34)</f>
        <v/>
      </c>
      <c r="FX34" s="980"/>
      <c r="FY34" s="983"/>
      <c r="FZ34" s="160"/>
      <c r="GA34" s="347"/>
      <c r="GB34" s="347"/>
      <c r="GC34" s="347"/>
      <c r="GD34" s="347"/>
      <c r="GE34" s="347"/>
      <c r="GF34" s="159">
        <f>SUM(GA34:GE34)</f>
        <v>0</v>
      </c>
      <c r="GG34" s="165">
        <f>MAX(GA34:GE34)</f>
        <v>0</v>
      </c>
      <c r="GH34" s="317">
        <f>SUM(GF34*1000)+GG34+0.26</f>
        <v>0.26</v>
      </c>
      <c r="GI34" s="320" t="str">
        <f>IF(GA34="","",RANK(GH34,GH6:GH70,0))</f>
        <v/>
      </c>
      <c r="GJ34" s="159"/>
      <c r="GK34" s="250"/>
      <c r="GL34" s="250"/>
      <c r="GM34" s="1022"/>
      <c r="GP34" s="155">
        <f t="shared" si="15"/>
        <v>29</v>
      </c>
      <c r="GQ34" s="166" t="str">
        <f>IF(GO6&lt;29,"",VLOOKUP(29,FW6:GI70,4,FALSE))</f>
        <v/>
      </c>
      <c r="GR34" s="155" t="str">
        <f>IF(GO6&lt;29,"",VLOOKUP(29,FW6:GI70,10,FALSE))</f>
        <v/>
      </c>
    </row>
    <row r="35" spans="1:200" ht="15" customHeight="1">
      <c r="A35" s="915"/>
      <c r="B35" s="915"/>
      <c r="C35" s="915"/>
      <c r="D35" s="915"/>
      <c r="E35" s="915"/>
      <c r="F35" s="915"/>
      <c r="G35" s="915"/>
      <c r="H35" s="915"/>
      <c r="I35" s="915"/>
      <c r="J35" s="915"/>
      <c r="K35" s="915"/>
      <c r="L35" s="915"/>
      <c r="M35" s="915"/>
      <c r="P35" s="981"/>
      <c r="Q35" s="984"/>
      <c r="R35" s="173"/>
      <c r="S35" s="332">
        <f>SUM(S30:S34)</f>
        <v>738</v>
      </c>
      <c r="T35" s="333">
        <f>SUM(T30:T34)</f>
        <v>791</v>
      </c>
      <c r="U35" s="333">
        <f>SUM(U30:U34)</f>
        <v>745</v>
      </c>
      <c r="V35" s="333">
        <f>SUM(V30:V34)</f>
        <v>815</v>
      </c>
      <c r="W35" s="333">
        <f>SUM(W30:W34)</f>
        <v>794</v>
      </c>
      <c r="X35" s="322"/>
      <c r="Y35" s="322"/>
      <c r="Z35" s="334"/>
      <c r="AA35" s="322"/>
      <c r="AB35" s="323">
        <f>SUM(S35:W35)</f>
        <v>3883</v>
      </c>
      <c r="AC35" s="1023"/>
      <c r="AF35" s="155">
        <f t="shared" si="8"/>
        <v>30</v>
      </c>
      <c r="AG35" s="166" t="str">
        <f>IF(AE6&lt;30,"",VLOOKUP(30,O6:AA65,4,FALSE))</f>
        <v>KAZDA JAN</v>
      </c>
      <c r="AH35" s="155">
        <f>IF(AE6&lt;30,"",VLOOKUP(30,O6:AA65,10,FALSE))</f>
        <v>655</v>
      </c>
      <c r="AI35" s="8"/>
      <c r="AL35" s="981"/>
      <c r="AM35" s="984"/>
      <c r="AN35" s="173"/>
      <c r="AO35" s="332">
        <f>SUM(AO30:AO34)</f>
        <v>724</v>
      </c>
      <c r="AP35" s="333">
        <f>SUM(AP30:AP34)</f>
        <v>823</v>
      </c>
      <c r="AQ35" s="333">
        <f>SUM(AQ30:AQ34)</f>
        <v>756</v>
      </c>
      <c r="AR35" s="333">
        <f>SUM(AR30:AR34)</f>
        <v>813</v>
      </c>
      <c r="AS35" s="333">
        <f>SUM(AS30:AS34)</f>
        <v>799</v>
      </c>
      <c r="AT35" s="322"/>
      <c r="AU35" s="322"/>
      <c r="AV35" s="334"/>
      <c r="AW35" s="322"/>
      <c r="AX35" s="323">
        <f>SUM(AO35:AS35)</f>
        <v>3915</v>
      </c>
      <c r="AY35" s="1023"/>
      <c r="BB35" s="155">
        <f t="shared" si="9"/>
        <v>30</v>
      </c>
      <c r="BC35" s="166" t="str">
        <f>IF(BA6&lt;30,"",VLOOKUP(30,AK6:AW65,4,FALSE))</f>
        <v>SEHNAL IVAN</v>
      </c>
      <c r="BD35" s="155">
        <f>IF(BA6&lt;30,"",VLOOKUP(30,AK6:AW65,10,FALSE))</f>
        <v>665</v>
      </c>
      <c r="BE35" s="8"/>
      <c r="BH35" s="981"/>
      <c r="BI35" s="984"/>
      <c r="BJ35" s="173"/>
      <c r="BK35" s="332">
        <f>SUM(BK30:BK34)</f>
        <v>701</v>
      </c>
      <c r="BL35" s="333">
        <f>SUM(BL30:BL34)</f>
        <v>693</v>
      </c>
      <c r="BM35" s="333">
        <f>SUM(BM30:BM34)</f>
        <v>723</v>
      </c>
      <c r="BN35" s="333">
        <f>SUM(BN30:BN34)</f>
        <v>738</v>
      </c>
      <c r="BO35" s="333">
        <f>SUM(BO30:BO34)</f>
        <v>637</v>
      </c>
      <c r="BP35" s="322"/>
      <c r="BQ35" s="322"/>
      <c r="BR35" s="334"/>
      <c r="BS35" s="322"/>
      <c r="BT35" s="323">
        <f>SUM(BK35:BO35)</f>
        <v>3492</v>
      </c>
      <c r="BU35" s="163">
        <f>MAX(BK35:BO35)</f>
        <v>738</v>
      </c>
      <c r="BV35" s="163">
        <f>IF(BK30="","",SUM(BT35*10000)+BU35)</f>
        <v>34920738</v>
      </c>
      <c r="BW35" s="1023"/>
      <c r="BZ35" s="155">
        <f t="shared" si="10"/>
        <v>30</v>
      </c>
      <c r="CA35" s="166" t="str">
        <f>IF(BY6&lt;30,"",VLOOKUP(30,BG6:BS65,4,FALSE))</f>
        <v>NOVOTNÁ PETRA</v>
      </c>
      <c r="CB35" s="155">
        <f>IF(BY6&lt;30,"",VLOOKUP(30,BG6:BS65,10,FALSE))</f>
        <v>681</v>
      </c>
      <c r="CC35" s="8"/>
      <c r="CF35" s="981"/>
      <c r="CG35" s="984"/>
      <c r="CH35" s="173"/>
      <c r="CI35" s="332">
        <f>SUM(CI30:CI34)</f>
        <v>615</v>
      </c>
      <c r="CJ35" s="333">
        <f>SUM(CJ30:CJ34)</f>
        <v>733</v>
      </c>
      <c r="CK35" s="333">
        <f>SUM(CK30:CK34)</f>
        <v>641</v>
      </c>
      <c r="CL35" s="333">
        <f>SUM(CL30:CL34)</f>
        <v>663</v>
      </c>
      <c r="CM35" s="333">
        <f>SUM(CM30:CM34)</f>
        <v>715</v>
      </c>
      <c r="CN35" s="322"/>
      <c r="CO35" s="322"/>
      <c r="CP35" s="334"/>
      <c r="CQ35" s="322"/>
      <c r="CR35" s="323">
        <f>SUM(CI35:CM35)</f>
        <v>3367</v>
      </c>
      <c r="CS35" s="163">
        <f>MAX(CI35:CM35)</f>
        <v>733</v>
      </c>
      <c r="CT35" s="163">
        <f>IF(CI30="","",SUM(CR35*1000)+CS35)</f>
        <v>3367733</v>
      </c>
      <c r="CU35" s="1023"/>
      <c r="CX35" s="155">
        <f t="shared" si="11"/>
        <v>30</v>
      </c>
      <c r="CY35" s="166" t="str">
        <f>IF(CW6&lt;30,"",VLOOKUP(30,CE6:CQ65,4,FALSE))</f>
        <v>ONDŘICH FRANTIŠEK</v>
      </c>
      <c r="CZ35" s="155">
        <f>IF(CW6&lt;30,"",VLOOKUP(30,CE6:CQ65,10,FALSE))</f>
        <v>664</v>
      </c>
      <c r="DA35" s="8"/>
      <c r="DD35" s="981"/>
      <c r="DE35" s="990"/>
      <c r="DF35" s="173"/>
      <c r="DG35" s="332">
        <f>SUM(DG30:DG34)</f>
        <v>910</v>
      </c>
      <c r="DH35" s="333">
        <f>SUM(DH30:DH34)</f>
        <v>764</v>
      </c>
      <c r="DI35" s="333">
        <f>SUM(DI30:DI34)</f>
        <v>867</v>
      </c>
      <c r="DJ35" s="333">
        <f>SUM(DJ30:DJ34)</f>
        <v>849</v>
      </c>
      <c r="DK35" s="333">
        <f>SUM(DK30:DK34)</f>
        <v>790</v>
      </c>
      <c r="DL35" s="322"/>
      <c r="DM35" s="322"/>
      <c r="DN35" s="334"/>
      <c r="DO35" s="322"/>
      <c r="DP35" s="323">
        <f>SUM(DG35:DK35)</f>
        <v>4180</v>
      </c>
      <c r="DQ35" s="163">
        <f>MAX(DG35:DK35)</f>
        <v>910</v>
      </c>
      <c r="DR35" s="163">
        <f>IF(DG30="","",SUM(DP35*1000)+DQ35)</f>
        <v>4180910</v>
      </c>
      <c r="DS35" s="1023"/>
      <c r="DV35" s="155">
        <f t="shared" si="12"/>
        <v>30</v>
      </c>
      <c r="DW35" s="166" t="str">
        <f>IF(DU6&lt;30,"",VLOOKUP(30,DC6:DO65,4,FALSE))</f>
        <v>Carvan Pavel</v>
      </c>
      <c r="DX35" s="155">
        <f>IF(DU6&lt;30,"",VLOOKUP(30,DC6:DO65,10,FALSE))</f>
        <v>683</v>
      </c>
      <c r="DY35" s="8"/>
      <c r="EB35" s="981"/>
      <c r="EC35" s="1004"/>
      <c r="ED35" s="173"/>
      <c r="EE35" s="332">
        <f>SUM(EE30:EE34)</f>
        <v>772</v>
      </c>
      <c r="EF35" s="333">
        <f>SUM(EF30:EF34)</f>
        <v>715</v>
      </c>
      <c r="EG35" s="333">
        <f>SUM(EG30:EG34)</f>
        <v>803</v>
      </c>
      <c r="EH35" s="333">
        <f>SUM(EH30:EH34)</f>
        <v>787</v>
      </c>
      <c r="EI35" s="333">
        <f>SUM(EI30:EI34)</f>
        <v>858</v>
      </c>
      <c r="EJ35" s="322"/>
      <c r="EK35" s="322"/>
      <c r="EL35" s="334"/>
      <c r="EM35" s="322"/>
      <c r="EN35" s="323">
        <f>SUM(EE35:EI35)</f>
        <v>3935</v>
      </c>
      <c r="EO35" s="163">
        <f>MAX(EE35:EI35)</f>
        <v>858</v>
      </c>
      <c r="EP35" s="163">
        <f>IF(EE30="","",SUM(EN35*1000)+EO35)</f>
        <v>3935858</v>
      </c>
      <c r="EQ35" s="1026"/>
      <c r="ET35" s="155">
        <f t="shared" si="13"/>
        <v>30</v>
      </c>
      <c r="EU35" s="166" t="str">
        <f>IF(ES6&lt;30,"",VLOOKUP(30,EA6:EM65,4,FALSE))</f>
        <v>Růžička Ladislav</v>
      </c>
      <c r="EV35" s="155">
        <f>IF(ES6&lt;30,"",VLOOKUP(30,EA6:EM65,10,FALSE))</f>
        <v>664</v>
      </c>
      <c r="EW35" s="8"/>
      <c r="EX35" s="8"/>
      <c r="EZ35" s="1029"/>
      <c r="FA35" s="1032"/>
      <c r="FB35" s="754"/>
      <c r="FC35" s="757">
        <f>SUM(FC30:FC34)</f>
        <v>737</v>
      </c>
      <c r="FD35" s="757">
        <f>SUM(FD30:FD34)</f>
        <v>737</v>
      </c>
      <c r="FE35" s="756">
        <f>SUM(FE30:FE34)</f>
        <v>755</v>
      </c>
      <c r="FF35" s="757">
        <f>SUM(FF30:FF34)</f>
        <v>748</v>
      </c>
      <c r="FG35" s="757">
        <f>SUM(FG30:FG34)</f>
        <v>763</v>
      </c>
      <c r="FH35" s="759"/>
      <c r="FI35" s="759"/>
      <c r="FJ35" s="760"/>
      <c r="FK35" s="759"/>
      <c r="FL35" s="761">
        <f>SUM(FC35:FG35)</f>
        <v>3740</v>
      </c>
      <c r="FM35" s="746">
        <f>MAX(FC35:FG35)</f>
        <v>763</v>
      </c>
      <c r="FN35" s="746">
        <f>IF(FC30="","",SUM(FL35*1000)+FM35)</f>
        <v>3740763</v>
      </c>
      <c r="FO35" s="1057"/>
      <c r="FP35" s="8"/>
      <c r="FQ35" s="804"/>
      <c r="FR35" s="811">
        <f t="shared" si="14"/>
        <v>30</v>
      </c>
      <c r="FS35" s="809" t="str">
        <f>IF(FQ6&lt;30,"",VLOOKUP(30,EY6:FL65,4,FALSE))</f>
        <v>Mašát Petr</v>
      </c>
      <c r="FT35" s="808">
        <f>IF(FQ6&lt;30,"",VLOOKUP(30,EY6:FL65,10,FALSE))</f>
        <v>669</v>
      </c>
      <c r="FU35" s="8"/>
      <c r="FX35" s="981"/>
      <c r="FY35" s="984"/>
      <c r="FZ35" s="173"/>
      <c r="GA35" s="332">
        <f>SUM(GA30:GA34)</f>
        <v>0</v>
      </c>
      <c r="GB35" s="333">
        <f>SUM(GB30:GB34)</f>
        <v>0</v>
      </c>
      <c r="GC35" s="333">
        <f>SUM(GC30:GC34)</f>
        <v>0</v>
      </c>
      <c r="GD35" s="333">
        <f>SUM(GD30:GD34)</f>
        <v>0</v>
      </c>
      <c r="GE35" s="333">
        <f>SUM(GE30:GE34)</f>
        <v>0</v>
      </c>
      <c r="GF35" s="322"/>
      <c r="GG35" s="322"/>
      <c r="GH35" s="334"/>
      <c r="GI35" s="322"/>
      <c r="GJ35" s="323">
        <f>SUM(GA35:GE35)</f>
        <v>0</v>
      </c>
      <c r="GK35" s="163">
        <f>MAX(GA35:GE35)</f>
        <v>0</v>
      </c>
      <c r="GL35" s="163" t="str">
        <f>IF(GA30="","",SUM(GJ35*1000)+GK35)</f>
        <v/>
      </c>
      <c r="GM35" s="1023"/>
      <c r="GP35" s="155">
        <f t="shared" si="15"/>
        <v>30</v>
      </c>
      <c r="GQ35" s="166" t="str">
        <f>IF(GO6&lt;30,"",VLOOKUP(30,FW6:GI70,4,FALSE))</f>
        <v/>
      </c>
      <c r="GR35" s="155" t="str">
        <f>IF(GO6&lt;30,"",VLOOKUP(30,FW6:GI70,10,FALSE))</f>
        <v/>
      </c>
    </row>
    <row r="36" spans="1:200" ht="15" customHeight="1">
      <c r="A36" s="915"/>
      <c r="B36" s="915"/>
      <c r="C36" s="915"/>
      <c r="D36" s="915"/>
      <c r="E36" s="915"/>
      <c r="F36" s="915"/>
      <c r="G36" s="915"/>
      <c r="H36" s="915"/>
      <c r="I36" s="915"/>
      <c r="J36" s="915"/>
      <c r="K36" s="915"/>
      <c r="L36" s="915"/>
      <c r="M36" s="915"/>
      <c r="O36">
        <f>IF(S36="","",AA36)</f>
        <v>42</v>
      </c>
      <c r="P36" s="979">
        <v>6</v>
      </c>
      <c r="Q36" s="982" t="s">
        <v>179</v>
      </c>
      <c r="R36" s="164" t="s">
        <v>180</v>
      </c>
      <c r="S36" s="324">
        <v>126</v>
      </c>
      <c r="T36" s="325">
        <v>104</v>
      </c>
      <c r="U36" s="325">
        <v>135</v>
      </c>
      <c r="V36" s="325">
        <v>123</v>
      </c>
      <c r="W36" s="325">
        <v>89</v>
      </c>
      <c r="X36" s="165">
        <f>SUM(S36:W36)</f>
        <v>577</v>
      </c>
      <c r="Y36" s="165">
        <f>MAX(S36:W36)</f>
        <v>135</v>
      </c>
      <c r="Z36" s="317">
        <f>SUM(X36*1000)+Y36+0.25</f>
        <v>577135.25</v>
      </c>
      <c r="AA36" s="318">
        <f>IF(S36="","",RANK(Z36,Z6:Z65,0))</f>
        <v>42</v>
      </c>
      <c r="AB36" s="165"/>
      <c r="AC36" s="1021">
        <f>RANK(AB41,AB11:AB65,0)</f>
        <v>9</v>
      </c>
      <c r="AF36" s="155">
        <f t="shared" si="8"/>
        <v>31</v>
      </c>
      <c r="AG36" s="166" t="str">
        <f>IF(AE6&lt;31,"",VLOOKUP(31,O6:AA65,4,FALSE))</f>
        <v>PLECHÁČEK MIROSLAV</v>
      </c>
      <c r="AH36" s="155">
        <f>IF(AE6&lt;31,"",VLOOKUP(31,O6:AA65,10,FALSE))</f>
        <v>653</v>
      </c>
      <c r="AI36" s="8"/>
      <c r="AK36">
        <f>IF(AO36="","",AW36)</f>
        <v>16</v>
      </c>
      <c r="AL36" s="979">
        <v>6</v>
      </c>
      <c r="AM36" s="982" t="s">
        <v>167</v>
      </c>
      <c r="AN36" s="236" t="s">
        <v>168</v>
      </c>
      <c r="AO36" s="338">
        <v>165</v>
      </c>
      <c r="AP36" s="316">
        <v>128</v>
      </c>
      <c r="AQ36" s="316">
        <v>197</v>
      </c>
      <c r="AR36" s="316">
        <v>141</v>
      </c>
      <c r="AS36" s="316">
        <v>135</v>
      </c>
      <c r="AT36" s="165">
        <f>SUM(AO36:AS36)</f>
        <v>766</v>
      </c>
      <c r="AU36" s="165">
        <f>MAX(AO36:AS36)</f>
        <v>197</v>
      </c>
      <c r="AV36" s="317">
        <f>SUM(AT36*1000)+AU36+0.25</f>
        <v>766197.25</v>
      </c>
      <c r="AW36" s="318">
        <f>IF(AO36="","",RANK(AV36,AV6:AV65,0))</f>
        <v>16</v>
      </c>
      <c r="AX36" s="165"/>
      <c r="AY36" s="1021">
        <f>RANK(AX41,AX11:AX65,0)</f>
        <v>6</v>
      </c>
      <c r="BB36" s="155">
        <f t="shared" si="9"/>
        <v>31</v>
      </c>
      <c r="BC36" s="166" t="str">
        <f>IF(BA6&lt;31,"",VLOOKUP(31,AK6:AW65,4,FALSE))</f>
        <v>KRUPOVÁ MARTINA</v>
      </c>
      <c r="BD36" s="155">
        <f>IF(BA6&lt;31,"",VLOOKUP(31,AK6:AW65,10,FALSE))</f>
        <v>662</v>
      </c>
      <c r="BE36" s="8"/>
      <c r="BG36">
        <f>IF(BK36="","",BS36)</f>
        <v>1</v>
      </c>
      <c r="BH36" s="979">
        <v>6</v>
      </c>
      <c r="BI36" s="982" t="s">
        <v>150</v>
      </c>
      <c r="BJ36" s="259" t="s">
        <v>151</v>
      </c>
      <c r="BK36" s="342">
        <v>176</v>
      </c>
      <c r="BL36" s="343">
        <v>154</v>
      </c>
      <c r="BM36" s="343">
        <v>187</v>
      </c>
      <c r="BN36" s="343">
        <v>232</v>
      </c>
      <c r="BO36" s="343">
        <v>211</v>
      </c>
      <c r="BP36" s="165">
        <f>SUM(BK36:BO36)</f>
        <v>960</v>
      </c>
      <c r="BQ36" s="165">
        <f>MAX(BK36:BO36)</f>
        <v>232</v>
      </c>
      <c r="BR36" s="317">
        <f>SUM(BP36*1000)+BQ36+0.25</f>
        <v>960232.25</v>
      </c>
      <c r="BS36" s="318">
        <f>IF(BK36="","",RANK(BR36,BR6:BR65,0))</f>
        <v>1</v>
      </c>
      <c r="BT36" s="165"/>
      <c r="BU36" s="249"/>
      <c r="BV36" s="249"/>
      <c r="BW36" s="1021">
        <f>IF(BK36="","",RANK(BV41,BV11:BV65,0))</f>
        <v>1</v>
      </c>
      <c r="BZ36" s="155">
        <f t="shared" si="10"/>
        <v>31</v>
      </c>
      <c r="CA36" s="166" t="str">
        <f>IF(BY6&lt;31,"",VLOOKUP(31,BG6:BS65,4,FALSE))</f>
        <v>SEHNAL IVAN</v>
      </c>
      <c r="CB36" s="155">
        <f>IF(BY6&lt;31,"",VLOOKUP(31,BG6:BS65,10,FALSE))</f>
        <v>680</v>
      </c>
      <c r="CC36" s="8"/>
      <c r="CE36">
        <f>IF(CI36="","",CQ36)</f>
        <v>42</v>
      </c>
      <c r="CF36" s="979">
        <v>6</v>
      </c>
      <c r="CG36" s="982" t="s">
        <v>203</v>
      </c>
      <c r="CH36" s="278" t="s">
        <v>207</v>
      </c>
      <c r="CI36" s="324">
        <v>117</v>
      </c>
      <c r="CJ36" s="324">
        <v>110</v>
      </c>
      <c r="CK36" s="324">
        <v>98</v>
      </c>
      <c r="CL36" s="324">
        <v>109</v>
      </c>
      <c r="CM36" s="324">
        <v>126</v>
      </c>
      <c r="CN36" s="165">
        <f>SUM(CI36:CM36)</f>
        <v>560</v>
      </c>
      <c r="CO36" s="165">
        <f>MAX(CI36:CM36)</f>
        <v>126</v>
      </c>
      <c r="CP36" s="317">
        <f>SUM(CN36*1000)+CO36+0.25</f>
        <v>560126.25</v>
      </c>
      <c r="CQ36" s="318">
        <f>IF(CI36="","",RANK(CP36,CP6:CP65,0))</f>
        <v>42</v>
      </c>
      <c r="CR36" s="165"/>
      <c r="CS36" s="249"/>
      <c r="CT36" s="249"/>
      <c r="CU36" s="1021">
        <f>IF(CI36="","",RANK(CT41,CT11:CT65,0))</f>
        <v>10</v>
      </c>
      <c r="CX36" s="155">
        <f t="shared" si="11"/>
        <v>31</v>
      </c>
      <c r="CY36" s="166" t="str">
        <f>IF(CW6&lt;31,"",VLOOKUP(31,CE6:CQ65,4,FALSE))</f>
        <v>KŘIKAVA MIROSLAV</v>
      </c>
      <c r="CZ36" s="155">
        <f>IF(CW6&lt;31,"",VLOOKUP(31,CE6:CQ65,10,FALSE))</f>
        <v>651</v>
      </c>
      <c r="DA36" s="8"/>
      <c r="DC36">
        <f>IF(DG36="","",DO36)</f>
        <v>40</v>
      </c>
      <c r="DD36" s="979">
        <v>6</v>
      </c>
      <c r="DE36" s="988" t="s">
        <v>191</v>
      </c>
      <c r="DF36" s="537" t="s">
        <v>14</v>
      </c>
      <c r="DG36" s="346">
        <v>120</v>
      </c>
      <c r="DH36" s="346">
        <v>118</v>
      </c>
      <c r="DI36" s="346">
        <v>127</v>
      </c>
      <c r="DJ36" s="346">
        <v>108</v>
      </c>
      <c r="DK36" s="346">
        <v>146</v>
      </c>
      <c r="DL36" s="165">
        <f>SUM(DG36:DK36)</f>
        <v>619</v>
      </c>
      <c r="DM36" s="165">
        <f>MAX(DG36:DK36)</f>
        <v>146</v>
      </c>
      <c r="DN36" s="317">
        <f>SUM(DL36*1000)+DM36+0.25</f>
        <v>619146.25</v>
      </c>
      <c r="DO36" s="318">
        <f>IF(DG36="","",RANK(DN36,DN6:DN65,0))</f>
        <v>40</v>
      </c>
      <c r="DP36" s="165"/>
      <c r="DQ36" s="249"/>
      <c r="DR36" s="249"/>
      <c r="DS36" s="1021">
        <f>IF(DG36="","",RANK(DR41,DR11:DR65,0))</f>
        <v>9</v>
      </c>
      <c r="DV36" s="155">
        <f t="shared" si="12"/>
        <v>31</v>
      </c>
      <c r="DW36" s="166" t="str">
        <f>IF(DU6&lt;31,"",VLOOKUP(31,DC6:DO65,4,FALSE))</f>
        <v>Šafář Ladislav</v>
      </c>
      <c r="DX36" s="155">
        <f>IF(DU6&lt;31,"",VLOOKUP(31,DC6:DO65,10,FALSE))</f>
        <v>683</v>
      </c>
      <c r="DY36" s="8"/>
      <c r="EA36">
        <f>IF(EE36="","",EM36)</f>
        <v>34</v>
      </c>
      <c r="EB36" s="979">
        <v>6</v>
      </c>
      <c r="EC36" s="1005" t="s">
        <v>179</v>
      </c>
      <c r="ED36" s="535" t="s">
        <v>226</v>
      </c>
      <c r="EE36" s="613">
        <v>120</v>
      </c>
      <c r="EF36" s="614">
        <v>128</v>
      </c>
      <c r="EG36" s="614">
        <v>130</v>
      </c>
      <c r="EH36" s="614">
        <v>162</v>
      </c>
      <c r="EI36" s="614">
        <v>102</v>
      </c>
      <c r="EJ36" s="165">
        <f>SUM(EE36:EI36)</f>
        <v>642</v>
      </c>
      <c r="EK36" s="165">
        <f>MAX(EE36:EI36)</f>
        <v>162</v>
      </c>
      <c r="EL36" s="317">
        <f>SUM(EJ36*1000)+EK36+0.25</f>
        <v>642162.25</v>
      </c>
      <c r="EM36" s="318">
        <f>IF(EE36="","",RANK(EL36,EL6:EL65,0))</f>
        <v>34</v>
      </c>
      <c r="EN36" s="165"/>
      <c r="EO36" s="249"/>
      <c r="EP36" s="249"/>
      <c r="EQ36" s="1024">
        <f>IF(EE36="","",RANK(EP41,EP11:EP65,0))</f>
        <v>7</v>
      </c>
      <c r="ET36" s="155">
        <f t="shared" si="13"/>
        <v>31</v>
      </c>
      <c r="EU36" s="166" t="str">
        <f>IF(ES6&lt;31,"",VLOOKUP(31,EA6:EM65,4,FALSE))</f>
        <v>Mašát Petr</v>
      </c>
      <c r="EV36" s="155">
        <f>IF(ES6&lt;31,"",VLOOKUP(31,EA6:EM65,10,FALSE))</f>
        <v>657</v>
      </c>
      <c r="EW36" s="8"/>
      <c r="EX36" s="8"/>
      <c r="EY36">
        <f>IF(FC36="","",FK36)</f>
        <v>40</v>
      </c>
      <c r="EZ36" s="1027">
        <v>6</v>
      </c>
      <c r="FA36" s="1030" t="s">
        <v>167</v>
      </c>
      <c r="FB36" s="781" t="s">
        <v>37</v>
      </c>
      <c r="FC36" s="786">
        <v>118</v>
      </c>
      <c r="FD36" s="786">
        <v>115</v>
      </c>
      <c r="FE36" s="786">
        <v>135</v>
      </c>
      <c r="FF36" s="786">
        <v>137</v>
      </c>
      <c r="FG36" s="786">
        <v>126</v>
      </c>
      <c r="FH36" s="700">
        <f>SUM(FC36:FG36)</f>
        <v>631</v>
      </c>
      <c r="FI36" s="700">
        <f>MAX(FC36:FG36)</f>
        <v>137</v>
      </c>
      <c r="FJ36" s="701">
        <f>SUM(FH36*1000)+FI36+0.25</f>
        <v>631137.25</v>
      </c>
      <c r="FK36" s="702">
        <f>IF(FC36="","",RANK(FJ36,FJ6:FJ65,0))</f>
        <v>40</v>
      </c>
      <c r="FL36" s="700"/>
      <c r="FM36" s="249"/>
      <c r="FN36" s="249"/>
      <c r="FO36" s="1057">
        <f>IF(FC36="","",RANK(FN41,FN11:FN65,0))</f>
        <v>8</v>
      </c>
      <c r="FP36" s="8"/>
      <c r="FQ36" s="804"/>
      <c r="FR36" s="811">
        <f t="shared" si="14"/>
        <v>31</v>
      </c>
      <c r="FS36" s="809" t="str">
        <f>IF(FQ6&lt;31,"",VLOOKUP(31,EY6:FL65,4,FALSE))</f>
        <v>Křápek Roman</v>
      </c>
      <c r="FT36" s="808">
        <f>IF(FQ6&lt;31,"",VLOOKUP(31,EY6:FL65,10,FALSE))</f>
        <v>668</v>
      </c>
      <c r="FU36" s="8"/>
      <c r="FW36" t="str">
        <f>IF(GA36="","",GI36)</f>
        <v/>
      </c>
      <c r="FX36" s="979">
        <v>6</v>
      </c>
      <c r="FY36" s="982" t="s">
        <v>179</v>
      </c>
      <c r="FZ36" s="157"/>
      <c r="GA36" s="346"/>
      <c r="GB36" s="346"/>
      <c r="GC36" s="346"/>
      <c r="GD36" s="346"/>
      <c r="GE36" s="346"/>
      <c r="GF36" s="165">
        <f>SUM(GA36:GE36)</f>
        <v>0</v>
      </c>
      <c r="GG36" s="165">
        <f>MAX(GA36:GE36)</f>
        <v>0</v>
      </c>
      <c r="GH36" s="317">
        <f>SUM(GF36*1000)+GG36+0.25</f>
        <v>0.25</v>
      </c>
      <c r="GI36" s="318" t="str">
        <f>IF(GA36="","",RANK(GH36,GH6:GH70,0))</f>
        <v/>
      </c>
      <c r="GJ36" s="165"/>
      <c r="GK36" s="249"/>
      <c r="GL36" s="249"/>
      <c r="GM36" s="1021" t="str">
        <f>IF(GA36="","",RANK(GL41,GL11:GL71,0))</f>
        <v/>
      </c>
      <c r="GP36" s="155">
        <f t="shared" si="15"/>
        <v>31</v>
      </c>
      <c r="GQ36" s="166" t="str">
        <f>IF(GO6&lt;31,"",VLOOKUP(31,FW6:GI70,4,FALSE))</f>
        <v/>
      </c>
      <c r="GR36" s="155" t="str">
        <f>IF(GO6&lt;31,"",VLOOKUP(31,FW6:GI70,10,FALSE))</f>
        <v/>
      </c>
    </row>
    <row r="37" spans="1:200" ht="15" customHeight="1">
      <c r="A37" s="915"/>
      <c r="B37" s="915"/>
      <c r="C37" s="915"/>
      <c r="D37" s="915"/>
      <c r="E37" s="915"/>
      <c r="F37" s="915"/>
      <c r="G37" s="915"/>
      <c r="H37" s="915"/>
      <c r="I37" s="915"/>
      <c r="J37" s="915"/>
      <c r="K37" s="915"/>
      <c r="L37" s="915"/>
      <c r="M37" s="915"/>
      <c r="O37">
        <f>IF(S37="","",AA37)</f>
        <v>49</v>
      </c>
      <c r="P37" s="980"/>
      <c r="Q37" s="983"/>
      <c r="R37" s="167" t="s">
        <v>181</v>
      </c>
      <c r="S37" s="327">
        <v>105</v>
      </c>
      <c r="T37" s="319">
        <v>85</v>
      </c>
      <c r="U37" s="319">
        <v>127</v>
      </c>
      <c r="V37" s="319">
        <v>79</v>
      </c>
      <c r="W37" s="319">
        <v>100</v>
      </c>
      <c r="X37" s="159">
        <f>SUM(S37:W37)</f>
        <v>496</v>
      </c>
      <c r="Y37" s="165">
        <f>MAX(S37:W37)</f>
        <v>127</v>
      </c>
      <c r="Z37" s="317">
        <f>SUM(X37*1000)+Y37+0.24</f>
        <v>496127.24</v>
      </c>
      <c r="AA37" s="320">
        <f>IF(S37="","",RANK(Z37,Z6:Z65,0))</f>
        <v>49</v>
      </c>
      <c r="AB37" s="159"/>
      <c r="AC37" s="1022"/>
      <c r="AF37" s="155">
        <f t="shared" si="8"/>
        <v>32</v>
      </c>
      <c r="AG37" s="166" t="str">
        <f>IF(AE6&lt;32,"",VLOOKUP(32,O6:AA65,4,FALSE))</f>
        <v>KŘÁPEK ROMAN</v>
      </c>
      <c r="AH37" s="155">
        <f>IF(AE6&lt;32,"",VLOOKUP(32,O6:AA65,10,FALSE))</f>
        <v>637</v>
      </c>
      <c r="AI37" s="8"/>
      <c r="AK37">
        <f>IF(AO37="","",AW37)</f>
        <v>25</v>
      </c>
      <c r="AL37" s="980"/>
      <c r="AM37" s="983"/>
      <c r="AN37" s="238" t="s">
        <v>171</v>
      </c>
      <c r="AO37" s="327">
        <v>121</v>
      </c>
      <c r="AP37" s="319">
        <v>134</v>
      </c>
      <c r="AQ37" s="319">
        <v>132</v>
      </c>
      <c r="AR37" s="319">
        <v>134</v>
      </c>
      <c r="AS37" s="319">
        <v>172</v>
      </c>
      <c r="AT37" s="159">
        <f>SUM(AO37:AS37)</f>
        <v>693</v>
      </c>
      <c r="AU37" s="165">
        <f>MAX(AO37:AS37)</f>
        <v>172</v>
      </c>
      <c r="AV37" s="317">
        <f>SUM(AT37*1000)+AU37+0.24</f>
        <v>693172.24</v>
      </c>
      <c r="AW37" s="320">
        <f>IF(AO37="","",RANK(AV37,AV6:AV65,0))</f>
        <v>25</v>
      </c>
      <c r="AX37" s="159"/>
      <c r="AY37" s="1022"/>
      <c r="BB37" s="155">
        <f t="shared" si="9"/>
        <v>32</v>
      </c>
      <c r="BC37" s="166" t="str">
        <f>IF(BA6&lt;32,"",VLOOKUP(32,AK6:AW65,4,FALSE))</f>
        <v>KAZDA JAN</v>
      </c>
      <c r="BD37" s="155">
        <f>IF(BA6&lt;32,"",VLOOKUP(32,AK6:AW65,10,FALSE))</f>
        <v>656</v>
      </c>
      <c r="BE37" s="8"/>
      <c r="BG37">
        <f>IF(BK37="","",BS37)</f>
        <v>13</v>
      </c>
      <c r="BH37" s="980"/>
      <c r="BI37" s="983"/>
      <c r="BJ37" s="258" t="s">
        <v>155</v>
      </c>
      <c r="BK37" s="344">
        <v>116</v>
      </c>
      <c r="BL37" s="345">
        <v>202</v>
      </c>
      <c r="BM37" s="345">
        <v>152</v>
      </c>
      <c r="BN37" s="345">
        <v>133</v>
      </c>
      <c r="BO37" s="345">
        <v>167</v>
      </c>
      <c r="BP37" s="159">
        <f>SUM(BK37:BO37)</f>
        <v>770</v>
      </c>
      <c r="BQ37" s="165">
        <f>MAX(BK37:BO37)</f>
        <v>202</v>
      </c>
      <c r="BR37" s="317">
        <f>SUM(BP37*1000)+BQ37+0.24</f>
        <v>770202.24</v>
      </c>
      <c r="BS37" s="320">
        <f>IF(BK37="","",RANK(BR37,BR6:BR65,0))</f>
        <v>13</v>
      </c>
      <c r="BT37" s="159"/>
      <c r="BU37" s="250"/>
      <c r="BV37" s="250"/>
      <c r="BW37" s="1022"/>
      <c r="BZ37" s="155">
        <f t="shared" si="10"/>
        <v>32</v>
      </c>
      <c r="CA37" s="166" t="str">
        <f>IF(BY6&lt;32,"",VLOOKUP(32,BG6:BS65,4,FALSE))</f>
        <v>KAZDA JAN</v>
      </c>
      <c r="CB37" s="155">
        <f>IF(BY6&lt;32,"",VLOOKUP(32,BG6:BS65,10,FALSE))</f>
        <v>676</v>
      </c>
      <c r="CC37" s="8"/>
      <c r="CE37">
        <f>IF(CI37="","",CQ37)</f>
        <v>50</v>
      </c>
      <c r="CF37" s="980"/>
      <c r="CG37" s="983"/>
      <c r="CH37" s="280" t="s">
        <v>257</v>
      </c>
      <c r="CI37" s="327">
        <v>109</v>
      </c>
      <c r="CJ37" s="327">
        <v>93</v>
      </c>
      <c r="CK37" s="327">
        <v>93</v>
      </c>
      <c r="CL37" s="327">
        <v>100</v>
      </c>
      <c r="CM37" s="327">
        <v>92</v>
      </c>
      <c r="CN37" s="159">
        <f>SUM(CI37:CM37)</f>
        <v>487</v>
      </c>
      <c r="CO37" s="165">
        <f>MAX(CI37:CM37)</f>
        <v>109</v>
      </c>
      <c r="CP37" s="317">
        <f>SUM(CN37*1000)+CO37+0.24</f>
        <v>487109.24</v>
      </c>
      <c r="CQ37" s="320">
        <f>IF(CI37="","",RANK(CP37,CP6:CP65,0))</f>
        <v>50</v>
      </c>
      <c r="CR37" s="159"/>
      <c r="CS37" s="250"/>
      <c r="CT37" s="250"/>
      <c r="CU37" s="1022"/>
      <c r="CX37" s="155">
        <f t="shared" si="11"/>
        <v>32</v>
      </c>
      <c r="CY37" s="166" t="str">
        <f>IF(CW6&lt;32,"",VLOOKUP(32,CE6:CQ65,4,FALSE))</f>
        <v>KŘEMENÁK PETR</v>
      </c>
      <c r="CZ37" s="155">
        <f>IF(CW6&lt;32,"",VLOOKUP(32,CE6:CQ65,10,FALSE))</f>
        <v>638</v>
      </c>
      <c r="DA37" s="8"/>
      <c r="DC37">
        <f>IF(DG37="","",DO37)</f>
        <v>44</v>
      </c>
      <c r="DD37" s="980"/>
      <c r="DE37" s="989"/>
      <c r="DF37" s="538" t="s">
        <v>285</v>
      </c>
      <c r="DG37" s="347">
        <v>119</v>
      </c>
      <c r="DH37" s="347">
        <v>97</v>
      </c>
      <c r="DI37" s="347">
        <v>123</v>
      </c>
      <c r="DJ37" s="347">
        <v>112</v>
      </c>
      <c r="DK37" s="347">
        <v>113</v>
      </c>
      <c r="DL37" s="159">
        <f>SUM(DG37:DK37)</f>
        <v>564</v>
      </c>
      <c r="DM37" s="165">
        <f>MAX(DG37:DK37)</f>
        <v>123</v>
      </c>
      <c r="DN37" s="317">
        <f>SUM(DL37*1000)+DM37+0.24</f>
        <v>564123.24</v>
      </c>
      <c r="DO37" s="320">
        <f>IF(DG37="","",RANK(DN37,DN6:DN65,0))</f>
        <v>44</v>
      </c>
      <c r="DP37" s="159"/>
      <c r="DQ37" s="250"/>
      <c r="DR37" s="250"/>
      <c r="DS37" s="1022"/>
      <c r="DV37" s="155">
        <f t="shared" si="12"/>
        <v>32</v>
      </c>
      <c r="DW37" s="166" t="str">
        <f>IF(DU6&lt;32,"",VLOOKUP(32,DC6:DO65,4,FALSE))</f>
        <v>Kolár Pavel</v>
      </c>
      <c r="DX37" s="155">
        <f>IF(DU6&lt;32,"",VLOOKUP(32,DC6:DO65,10,FALSE))</f>
        <v>681</v>
      </c>
      <c r="DY37" s="8"/>
      <c r="EA37">
        <f>IF(EE37="","",EM37)</f>
        <v>36</v>
      </c>
      <c r="EB37" s="980"/>
      <c r="EC37" s="1003"/>
      <c r="ED37" s="536" t="s">
        <v>224</v>
      </c>
      <c r="EE37" s="615">
        <v>129</v>
      </c>
      <c r="EF37" s="616">
        <v>138</v>
      </c>
      <c r="EG37" s="616">
        <v>133</v>
      </c>
      <c r="EH37" s="616">
        <v>115</v>
      </c>
      <c r="EI37" s="616">
        <v>116</v>
      </c>
      <c r="EJ37" s="159">
        <f>SUM(EE37:EI37)</f>
        <v>631</v>
      </c>
      <c r="EK37" s="165">
        <f>MAX(EE37:EI37)</f>
        <v>138</v>
      </c>
      <c r="EL37" s="317">
        <f>SUM(EJ37*1000)+EK37+0.24</f>
        <v>631138.24</v>
      </c>
      <c r="EM37" s="320">
        <f>IF(EE37="","",RANK(EL37,EL6:EL65,0))</f>
        <v>36</v>
      </c>
      <c r="EN37" s="159"/>
      <c r="EO37" s="250"/>
      <c r="EP37" s="250"/>
      <c r="EQ37" s="1025"/>
      <c r="ET37" s="155">
        <f t="shared" si="13"/>
        <v>32</v>
      </c>
      <c r="EU37" s="166" t="str">
        <f>IF(ES6&lt;32,"",VLOOKUP(32,EA6:EM65,4,FALSE))</f>
        <v>Kolár Vladimír</v>
      </c>
      <c r="EV37" s="155">
        <f>IF(ES6&lt;32,"",VLOOKUP(32,EA6:EM65,10,FALSE))</f>
        <v>650</v>
      </c>
      <c r="EW37" s="8"/>
      <c r="EX37" s="8"/>
      <c r="EY37">
        <f>IF(FC37="","",FK37)</f>
        <v>44</v>
      </c>
      <c r="EZ37" s="1028"/>
      <c r="FA37" s="1031"/>
      <c r="FB37" s="782" t="s">
        <v>99</v>
      </c>
      <c r="FC37" s="703">
        <v>133</v>
      </c>
      <c r="FD37" s="703">
        <v>100</v>
      </c>
      <c r="FE37" s="703">
        <v>99</v>
      </c>
      <c r="FF37" s="703">
        <v>135</v>
      </c>
      <c r="FG37" s="703">
        <v>148</v>
      </c>
      <c r="FH37" s="704">
        <f>SUM(FC37:FG37)</f>
        <v>615</v>
      </c>
      <c r="FI37" s="700">
        <f>MAX(FC37:FG37)</f>
        <v>148</v>
      </c>
      <c r="FJ37" s="701">
        <f>SUM(FH37*1000)+FI37+0.24</f>
        <v>615148.24</v>
      </c>
      <c r="FK37" s="705">
        <f>IF(FC37="","",RANK(FJ37,FJ6:FJ65,0))</f>
        <v>44</v>
      </c>
      <c r="FL37" s="704"/>
      <c r="FM37" s="250"/>
      <c r="FN37" s="250"/>
      <c r="FO37" s="1057"/>
      <c r="FP37" s="8"/>
      <c r="FQ37" s="804"/>
      <c r="FR37" s="811">
        <f t="shared" si="14"/>
        <v>32</v>
      </c>
      <c r="FS37" s="809" t="str">
        <f>IF(FQ6&lt;32,"",VLOOKUP(32,EY6:FL65,4,FALSE))</f>
        <v>Sehnal Ivan ing.</v>
      </c>
      <c r="FT37" s="808">
        <f>IF(FQ6&lt;32,"",VLOOKUP(32,EY7:FL66,10,FALSE))</f>
        <v>658</v>
      </c>
      <c r="FU37" s="8"/>
      <c r="FW37" t="str">
        <f>IF(GA37="","",GI37)</f>
        <v/>
      </c>
      <c r="FX37" s="980"/>
      <c r="FY37" s="983"/>
      <c r="FZ37" s="160"/>
      <c r="GA37" s="347"/>
      <c r="GB37" s="347"/>
      <c r="GC37" s="347"/>
      <c r="GD37" s="347"/>
      <c r="GE37" s="347"/>
      <c r="GF37" s="159">
        <f>SUM(GA37:GE37)</f>
        <v>0</v>
      </c>
      <c r="GG37" s="165">
        <f>MAX(GA37:GE37)</f>
        <v>0</v>
      </c>
      <c r="GH37" s="317">
        <f>SUM(GF37*1000)+GG37+0.24</f>
        <v>0.24</v>
      </c>
      <c r="GI37" s="320" t="str">
        <f>IF(GA37="","",RANK(GH37,GH6:GH70,0))</f>
        <v/>
      </c>
      <c r="GJ37" s="159"/>
      <c r="GK37" s="250"/>
      <c r="GL37" s="250"/>
      <c r="GM37" s="1022"/>
      <c r="GP37" s="155">
        <f t="shared" si="15"/>
        <v>32</v>
      </c>
      <c r="GQ37" s="166" t="str">
        <f>IF(GO6&lt;32,"",VLOOKUP(32,FW6:GI70,4,FALSE))</f>
        <v/>
      </c>
      <c r="GR37" s="155" t="str">
        <f>IF(GO6&lt;32,"",VLOOKUP(32,FW6:GI70,10,FALSE))</f>
        <v/>
      </c>
    </row>
    <row r="38" spans="1:200" ht="15" customHeight="1">
      <c r="A38" s="915"/>
      <c r="B38" s="915"/>
      <c r="C38" s="915"/>
      <c r="D38" s="915"/>
      <c r="E38" s="915"/>
      <c r="F38" s="915"/>
      <c r="G38" s="915"/>
      <c r="H38" s="915"/>
      <c r="I38" s="915"/>
      <c r="J38" s="915"/>
      <c r="K38" s="915"/>
      <c r="L38" s="915"/>
      <c r="M38" s="915"/>
      <c r="O38">
        <f>IF(S38="","",AA38)</f>
        <v>23</v>
      </c>
      <c r="P38" s="980"/>
      <c r="Q38" s="983"/>
      <c r="R38" s="158" t="s">
        <v>182</v>
      </c>
      <c r="S38" s="327">
        <v>124</v>
      </c>
      <c r="T38" s="319">
        <v>176</v>
      </c>
      <c r="U38" s="319">
        <v>143</v>
      </c>
      <c r="V38" s="319">
        <v>147</v>
      </c>
      <c r="W38" s="319">
        <v>112</v>
      </c>
      <c r="X38" s="159">
        <f>SUM(S38:W38)</f>
        <v>702</v>
      </c>
      <c r="Y38" s="165">
        <f>MAX(S38:W38)</f>
        <v>176</v>
      </c>
      <c r="Z38" s="317">
        <f>SUM(X38*1000)+Y38+0.23</f>
        <v>702176.23</v>
      </c>
      <c r="AA38" s="320">
        <f>IF(S38="","",RANK(Z38,Z6:Z65,0))</f>
        <v>23</v>
      </c>
      <c r="AB38" s="159"/>
      <c r="AC38" s="1022"/>
      <c r="AF38" s="155">
        <f t="shared" si="8"/>
        <v>33</v>
      </c>
      <c r="AG38" s="166" t="str">
        <f>IF(AE6&lt;33,"",VLOOKUP(33,O6:AA65,4,FALSE))</f>
        <v>DOUŠA ADAM</v>
      </c>
      <c r="AH38" s="155">
        <f>IF(AE6&lt;33,"",VLOOKUP(33,O6:AA65,10,FALSE))</f>
        <v>636</v>
      </c>
      <c r="AI38" s="8"/>
      <c r="AK38">
        <f>IF(AO38="","",AW38)</f>
        <v>37</v>
      </c>
      <c r="AL38" s="980"/>
      <c r="AM38" s="983"/>
      <c r="AN38" s="237" t="s">
        <v>230</v>
      </c>
      <c r="AO38" s="327">
        <v>134</v>
      </c>
      <c r="AP38" s="319">
        <v>130</v>
      </c>
      <c r="AQ38" s="319">
        <v>110</v>
      </c>
      <c r="AR38" s="319">
        <v>112</v>
      </c>
      <c r="AS38" s="319">
        <v>139</v>
      </c>
      <c r="AT38" s="159">
        <f>SUM(AO38:AS38)</f>
        <v>625</v>
      </c>
      <c r="AU38" s="165">
        <f>MAX(AO38:AS38)</f>
        <v>139</v>
      </c>
      <c r="AV38" s="317">
        <f>SUM(AT38*1000)+AU38+0.23</f>
        <v>625139.23</v>
      </c>
      <c r="AW38" s="320">
        <f>IF(AO38="","",RANK(AV38,AV6:AV65,0))</f>
        <v>37</v>
      </c>
      <c r="AX38" s="159"/>
      <c r="AY38" s="1022"/>
      <c r="BB38" s="155">
        <f t="shared" si="9"/>
        <v>33</v>
      </c>
      <c r="BC38" s="166" t="str">
        <f>IF(BA6&lt;33,"",VLOOKUP(33,AK6:AW65,4,FALSE))</f>
        <v>TROLLER PAVEL</v>
      </c>
      <c r="BD38" s="155">
        <f>IF(BA6&lt;33,"",VLOOKUP(33,AK6:AW65,10,FALSE))</f>
        <v>638</v>
      </c>
      <c r="BE38" s="8"/>
      <c r="BG38">
        <f>IF(BK38="","",BS38)</f>
        <v>23</v>
      </c>
      <c r="BH38" s="980"/>
      <c r="BI38" s="983"/>
      <c r="BJ38" s="257" t="s">
        <v>249</v>
      </c>
      <c r="BK38" s="344">
        <v>138</v>
      </c>
      <c r="BL38" s="345">
        <v>145</v>
      </c>
      <c r="BM38" s="345">
        <v>162</v>
      </c>
      <c r="BN38" s="345">
        <v>140</v>
      </c>
      <c r="BO38" s="345">
        <v>135</v>
      </c>
      <c r="BP38" s="159">
        <f>SUM(BK38:BO38)</f>
        <v>720</v>
      </c>
      <c r="BQ38" s="165">
        <f>MAX(BK38:BO38)</f>
        <v>162</v>
      </c>
      <c r="BR38" s="317">
        <f>SUM(BP38*1000)+BQ38+0.23</f>
        <v>720162.23</v>
      </c>
      <c r="BS38" s="320">
        <f>IF(BK38="","",RANK(BR38,BR6:BR65,0))</f>
        <v>23</v>
      </c>
      <c r="BT38" s="159"/>
      <c r="BU38" s="250"/>
      <c r="BV38" s="250"/>
      <c r="BW38" s="1022"/>
      <c r="BZ38" s="155">
        <f t="shared" si="10"/>
        <v>33</v>
      </c>
      <c r="CA38" s="166" t="str">
        <f>IF(BY6&lt;33,"",VLOOKUP(33,BG6:BS65,4,FALSE))</f>
        <v>BOŠEK JAN</v>
      </c>
      <c r="CB38" s="155">
        <f>IF(BY6&lt;33,"",VLOOKUP(33,BG6:BS65,10,FALSE))</f>
        <v>673</v>
      </c>
      <c r="CC38" s="8"/>
      <c r="CE38">
        <f>IF(CI38="","",CQ38)</f>
        <v>44</v>
      </c>
      <c r="CF38" s="980"/>
      <c r="CG38" s="983"/>
      <c r="CH38" s="279" t="s">
        <v>258</v>
      </c>
      <c r="CI38" s="327">
        <v>92</v>
      </c>
      <c r="CJ38" s="327">
        <v>79</v>
      </c>
      <c r="CK38" s="327">
        <v>153</v>
      </c>
      <c r="CL38" s="327">
        <v>116</v>
      </c>
      <c r="CM38" s="327">
        <v>116</v>
      </c>
      <c r="CN38" s="159">
        <f>SUM(CI38:CM38)</f>
        <v>556</v>
      </c>
      <c r="CO38" s="165">
        <f>MAX(CI38:CM38)</f>
        <v>153</v>
      </c>
      <c r="CP38" s="317">
        <f>SUM(CN38*1000)+CO38+0.23</f>
        <v>556153.23</v>
      </c>
      <c r="CQ38" s="320">
        <f>IF(CI38="","",RANK(CP38,CP6:CP65,0))</f>
        <v>44</v>
      </c>
      <c r="CR38" s="159"/>
      <c r="CS38" s="250"/>
      <c r="CT38" s="250"/>
      <c r="CU38" s="1022"/>
      <c r="CX38" s="155">
        <f t="shared" si="11"/>
        <v>33</v>
      </c>
      <c r="CY38" s="166" t="str">
        <f>IF(CW6&lt;33,"",VLOOKUP(33,CE6:CQ65,4,FALSE))</f>
        <v>ŠAFÁŘ LADISLAV</v>
      </c>
      <c r="CZ38" s="155">
        <f>IF(CW6&lt;33,"",VLOOKUP(33,CE6:CQ65,10,FALSE))</f>
        <v>632</v>
      </c>
      <c r="DA38" s="8"/>
      <c r="DC38">
        <f>IF(DG38="","",DO38)</f>
        <v>48</v>
      </c>
      <c r="DD38" s="980"/>
      <c r="DE38" s="989"/>
      <c r="DF38" s="538" t="s">
        <v>104</v>
      </c>
      <c r="DG38" s="347">
        <v>109</v>
      </c>
      <c r="DH38" s="347">
        <v>102</v>
      </c>
      <c r="DI38" s="347">
        <v>99</v>
      </c>
      <c r="DJ38" s="347">
        <v>105</v>
      </c>
      <c r="DK38" s="347">
        <v>124</v>
      </c>
      <c r="DL38" s="159">
        <f>SUM(DG38:DK38)</f>
        <v>539</v>
      </c>
      <c r="DM38" s="165">
        <f>MAX(DG38:DK38)</f>
        <v>124</v>
      </c>
      <c r="DN38" s="317">
        <f>SUM(DL38*1000)+DM38+0.23</f>
        <v>539124.23</v>
      </c>
      <c r="DO38" s="320">
        <f>IF(DG38="","",RANK(DN38,DN6:DN65,0))</f>
        <v>48</v>
      </c>
      <c r="DP38" s="159"/>
      <c r="DQ38" s="250"/>
      <c r="DR38" s="250"/>
      <c r="DS38" s="1022"/>
      <c r="DV38" s="155">
        <f t="shared" si="12"/>
        <v>33</v>
      </c>
      <c r="DW38" s="166" t="str">
        <f>IF(DU6&lt;33,"",VLOOKUP(33,DC6:DO65,4,FALSE))</f>
        <v>Kutina Pavel</v>
      </c>
      <c r="DX38" s="155">
        <f>IF(DU6&lt;33,"",VLOOKUP(33,DC6:DO65,10,FALSE))</f>
        <v>676</v>
      </c>
      <c r="DY38" s="8"/>
      <c r="EA38">
        <f>IF(EE38="","",EM38)</f>
        <v>48</v>
      </c>
      <c r="EB38" s="980"/>
      <c r="EC38" s="1003"/>
      <c r="ED38" s="536" t="s">
        <v>15</v>
      </c>
      <c r="EE38" s="615">
        <v>89</v>
      </c>
      <c r="EF38" s="616">
        <v>128</v>
      </c>
      <c r="EG38" s="616">
        <v>121</v>
      </c>
      <c r="EH38" s="616">
        <v>133</v>
      </c>
      <c r="EI38" s="616">
        <v>114</v>
      </c>
      <c r="EJ38" s="159">
        <f>SUM(EE38:EI38)</f>
        <v>585</v>
      </c>
      <c r="EK38" s="165">
        <f>MAX(EE38:EI38)</f>
        <v>133</v>
      </c>
      <c r="EL38" s="317">
        <f>SUM(EJ38*1000)+EK38+0.23</f>
        <v>585133.23</v>
      </c>
      <c r="EM38" s="320">
        <f>IF(EE38="","",RANK(EL38,EL6:EL65,0))</f>
        <v>48</v>
      </c>
      <c r="EN38" s="159"/>
      <c r="EO38" s="250"/>
      <c r="EP38" s="250"/>
      <c r="EQ38" s="1025"/>
      <c r="ET38" s="155">
        <f t="shared" si="13"/>
        <v>33</v>
      </c>
      <c r="EU38" s="166" t="str">
        <f>IF(ES6&lt;33,"",VLOOKUP(33,EA6:EM65,4,FALSE))</f>
        <v>Lokvenc Jiří</v>
      </c>
      <c r="EV38" s="155">
        <f>IF(ES6&lt;33,"",VLOOKUP(33,EA6:EM65,10,FALSE))</f>
        <v>645</v>
      </c>
      <c r="EW38" s="8"/>
      <c r="EX38" s="8"/>
      <c r="EY38">
        <f>IF(FC38="","",FK38)</f>
        <v>27</v>
      </c>
      <c r="EZ38" s="1028"/>
      <c r="FA38" s="1031"/>
      <c r="FB38" s="782" t="s">
        <v>18</v>
      </c>
      <c r="FC38" s="703">
        <v>143</v>
      </c>
      <c r="FD38" s="703">
        <v>132</v>
      </c>
      <c r="FE38" s="703">
        <v>141</v>
      </c>
      <c r="FF38" s="703">
        <v>137</v>
      </c>
      <c r="FG38" s="703">
        <v>128</v>
      </c>
      <c r="FH38" s="704">
        <f>SUM(FC38:FG38)</f>
        <v>681</v>
      </c>
      <c r="FI38" s="700">
        <f>MAX(FC38:FG38)</f>
        <v>143</v>
      </c>
      <c r="FJ38" s="701">
        <f>SUM(FH38*1000)+FI38+0.23</f>
        <v>681143.23</v>
      </c>
      <c r="FK38" s="705">
        <f>IF(FC38="","",RANK(FJ38,FJ6:FJ65,0))</f>
        <v>27</v>
      </c>
      <c r="FL38" s="704"/>
      <c r="FM38" s="250"/>
      <c r="FN38" s="250"/>
      <c r="FO38" s="1057"/>
      <c r="FP38" s="8"/>
      <c r="FQ38" s="804"/>
      <c r="FR38" s="811">
        <f t="shared" si="14"/>
        <v>33</v>
      </c>
      <c r="FS38" s="809" t="str">
        <f>IF(FQ6&lt;33,"",VLOOKUP(33,EY6:FL65,4,FALSE))</f>
        <v>Šafář Ladislav</v>
      </c>
      <c r="FT38" s="808">
        <f>IF(FQ6&lt;33,"",VLOOKUP(33,EY6:FL65,10,FALSE))</f>
        <v>652</v>
      </c>
      <c r="FU38" s="8"/>
      <c r="FW38" t="str">
        <f>IF(GA38="","",GI38)</f>
        <v/>
      </c>
      <c r="FX38" s="980"/>
      <c r="FY38" s="983"/>
      <c r="FZ38" s="160"/>
      <c r="GA38" s="347"/>
      <c r="GB38" s="347"/>
      <c r="GC38" s="347"/>
      <c r="GD38" s="347"/>
      <c r="GE38" s="347"/>
      <c r="GF38" s="159">
        <f>SUM(GA38:GE38)</f>
        <v>0</v>
      </c>
      <c r="GG38" s="165">
        <f>MAX(GA38:GE38)</f>
        <v>0</v>
      </c>
      <c r="GH38" s="317">
        <f>SUM(GF38*1000)+GG38+0.23</f>
        <v>0.23</v>
      </c>
      <c r="GI38" s="320" t="str">
        <f>IF(GA38="","",RANK(GH38,GH6:GH70,0))</f>
        <v/>
      </c>
      <c r="GJ38" s="159"/>
      <c r="GK38" s="250"/>
      <c r="GL38" s="250"/>
      <c r="GM38" s="1022"/>
      <c r="GP38" s="155">
        <f t="shared" si="15"/>
        <v>33</v>
      </c>
      <c r="GQ38" s="166" t="str">
        <f>IF(GO6&lt;33,"",VLOOKUP(33,FW6:GI70,4,FALSE))</f>
        <v/>
      </c>
      <c r="GR38" s="155" t="str">
        <f>IF(GO6&lt;33,"",VLOOKUP(33,FW6:GI70,10,FALSE))</f>
        <v/>
      </c>
    </row>
    <row r="39" spans="1:200" ht="15" customHeight="1">
      <c r="A39" s="915"/>
      <c r="B39" s="915"/>
      <c r="C39" s="915"/>
      <c r="D39" s="915"/>
      <c r="E39" s="915"/>
      <c r="F39" s="915"/>
      <c r="G39" s="915"/>
      <c r="H39" s="915"/>
      <c r="I39" s="915"/>
      <c r="J39" s="915"/>
      <c r="K39" s="915"/>
      <c r="L39" s="915"/>
      <c r="M39" s="915"/>
      <c r="O39">
        <f>IF(S39="","",AA39)</f>
        <v>36</v>
      </c>
      <c r="P39" s="980"/>
      <c r="Q39" s="983"/>
      <c r="R39" s="167" t="s">
        <v>183</v>
      </c>
      <c r="S39" s="327">
        <v>144</v>
      </c>
      <c r="T39" s="319">
        <v>108</v>
      </c>
      <c r="U39" s="319">
        <v>98</v>
      </c>
      <c r="V39" s="319">
        <v>146</v>
      </c>
      <c r="W39" s="319">
        <v>120</v>
      </c>
      <c r="X39" s="159">
        <f>SUM(S39:W39)</f>
        <v>616</v>
      </c>
      <c r="Y39" s="165">
        <f>MAX(S39:W39)</f>
        <v>146</v>
      </c>
      <c r="Z39" s="317">
        <f>SUM(X39*1000)+Y39+0.21</f>
        <v>616146.21</v>
      </c>
      <c r="AA39" s="320">
        <f>IF(S39="","",RANK(Z39,Z6:Z65,0))</f>
        <v>36</v>
      </c>
      <c r="AB39" s="159"/>
      <c r="AC39" s="1022"/>
      <c r="AF39" s="155">
        <f t="shared" si="8"/>
        <v>34</v>
      </c>
      <c r="AG39" s="166" t="str">
        <f>IF(AE6&lt;34,"",VLOOKUP(34,O6:AA65,4,FALSE))</f>
        <v>SEHNAL IVAN</v>
      </c>
      <c r="AH39" s="155">
        <f>IF(AE6&lt;34,"",VLOOKUP(34,O6:AA65,10,FALSE))</f>
        <v>631</v>
      </c>
      <c r="AI39" s="8"/>
      <c r="AK39">
        <f>IF(AO39="","",AW39)</f>
        <v>39</v>
      </c>
      <c r="AL39" s="980"/>
      <c r="AM39" s="983"/>
      <c r="AN39" s="238" t="s">
        <v>170</v>
      </c>
      <c r="AO39" s="327">
        <v>107</v>
      </c>
      <c r="AP39" s="319">
        <v>116</v>
      </c>
      <c r="AQ39" s="319">
        <v>158</v>
      </c>
      <c r="AR39" s="319">
        <v>112</v>
      </c>
      <c r="AS39" s="319">
        <v>125</v>
      </c>
      <c r="AT39" s="159">
        <f>SUM(AO39:AS39)</f>
        <v>618</v>
      </c>
      <c r="AU39" s="165">
        <f>MAX(AO39:AS39)</f>
        <v>158</v>
      </c>
      <c r="AV39" s="317">
        <f>SUM(AT39*1000)+AU39+0.21</f>
        <v>618158.21</v>
      </c>
      <c r="AW39" s="320">
        <f>IF(AO39="","",RANK(AV39,AV6:AV65,0))</f>
        <v>39</v>
      </c>
      <c r="AX39" s="159"/>
      <c r="AY39" s="1022"/>
      <c r="BB39" s="155">
        <f t="shared" si="9"/>
        <v>34</v>
      </c>
      <c r="BC39" s="166" t="str">
        <f>IF(BA6&lt;34,"",VLOOKUP(34,AK6:AW65,4,FALSE))</f>
        <v>TICHÝ HUGO</v>
      </c>
      <c r="BD39" s="155">
        <f>IF(BA6&lt;34,"",VLOOKUP(34,AK6:AW65,10,FALSE))</f>
        <v>636</v>
      </c>
      <c r="BE39" s="8"/>
      <c r="BG39">
        <f>IF(BK39="","",BS39)</f>
        <v>18</v>
      </c>
      <c r="BH39" s="980"/>
      <c r="BI39" s="983"/>
      <c r="BJ39" s="258" t="s">
        <v>157</v>
      </c>
      <c r="BK39" s="344">
        <v>142</v>
      </c>
      <c r="BL39" s="345">
        <v>141</v>
      </c>
      <c r="BM39" s="345">
        <v>139</v>
      </c>
      <c r="BN39" s="345">
        <v>151</v>
      </c>
      <c r="BO39" s="345">
        <v>169</v>
      </c>
      <c r="BP39" s="159">
        <f>SUM(BK39:BO39)</f>
        <v>742</v>
      </c>
      <c r="BQ39" s="165">
        <f>MAX(BK39:BO39)</f>
        <v>169</v>
      </c>
      <c r="BR39" s="317">
        <f>SUM(BP39*1000)+BQ39+0.21</f>
        <v>742169.21</v>
      </c>
      <c r="BS39" s="320">
        <f>IF(BK39="","",RANK(BR39,BR6:BR65,0))</f>
        <v>18</v>
      </c>
      <c r="BT39" s="159"/>
      <c r="BU39" s="250"/>
      <c r="BV39" s="250"/>
      <c r="BW39" s="1022"/>
      <c r="BZ39" s="155">
        <f t="shared" si="10"/>
        <v>34</v>
      </c>
      <c r="CA39" s="166" t="str">
        <f>IF(BY6&lt;34,"",VLOOKUP(34,BG6:BS65,4,FALSE))</f>
        <v>DOUŠA ADAM</v>
      </c>
      <c r="CB39" s="155">
        <f>IF(BY6&lt;34,"",VLOOKUP(34,BG6:BS65,10,FALSE))</f>
        <v>672</v>
      </c>
      <c r="CC39" s="8"/>
      <c r="CE39">
        <f>IF(CI39="","",CQ39)</f>
        <v>40</v>
      </c>
      <c r="CF39" s="980"/>
      <c r="CG39" s="983"/>
      <c r="CH39" s="280" t="s">
        <v>259</v>
      </c>
      <c r="CI39" s="327">
        <v>160</v>
      </c>
      <c r="CJ39" s="327">
        <v>109</v>
      </c>
      <c r="CK39" s="327">
        <v>94</v>
      </c>
      <c r="CL39" s="327">
        <v>117</v>
      </c>
      <c r="CM39" s="327">
        <v>97</v>
      </c>
      <c r="CN39" s="159">
        <f>SUM(CI39:CM39)</f>
        <v>577</v>
      </c>
      <c r="CO39" s="165">
        <f>MAX(CI39:CM39)</f>
        <v>160</v>
      </c>
      <c r="CP39" s="317">
        <f>SUM(CN39*1000)+CO39+0.21</f>
        <v>577160.21</v>
      </c>
      <c r="CQ39" s="320">
        <f>IF(CI39="","",RANK(CP39,CP6:CP65,0))</f>
        <v>40</v>
      </c>
      <c r="CR39" s="159"/>
      <c r="CS39" s="250"/>
      <c r="CT39" s="250"/>
      <c r="CU39" s="1022"/>
      <c r="CX39" s="155">
        <f t="shared" si="11"/>
        <v>34</v>
      </c>
      <c r="CY39" s="166" t="str">
        <f>IF(CW6&lt;34,"",VLOOKUP(34,CE6:CQ65,4,FALSE))</f>
        <v>ČERMÁK TOMÁŠ</v>
      </c>
      <c r="CZ39" s="155">
        <f>IF(CW6&lt;34,"",VLOOKUP(34,CE6:CQ65,10,FALSE))</f>
        <v>631</v>
      </c>
      <c r="DA39" s="8"/>
      <c r="DC39">
        <f>IF(DG39="","",DO39)</f>
        <v>28</v>
      </c>
      <c r="DD39" s="980"/>
      <c r="DE39" s="989"/>
      <c r="DF39" s="538" t="s">
        <v>127</v>
      </c>
      <c r="DG39" s="347">
        <v>139</v>
      </c>
      <c r="DH39" s="347">
        <v>130</v>
      </c>
      <c r="DI39" s="347">
        <v>123</v>
      </c>
      <c r="DJ39" s="347">
        <v>182</v>
      </c>
      <c r="DK39" s="347">
        <v>123</v>
      </c>
      <c r="DL39" s="159">
        <f>SUM(DG39:DK39)</f>
        <v>697</v>
      </c>
      <c r="DM39" s="165">
        <f>MAX(DG39:DK39)</f>
        <v>182</v>
      </c>
      <c r="DN39" s="317">
        <f>SUM(DL39*1000)+DM39+0.21</f>
        <v>697182.21</v>
      </c>
      <c r="DO39" s="320">
        <f>IF(DG39="","",RANK(DN39,DN6:DN65,0))</f>
        <v>28</v>
      </c>
      <c r="DP39" s="159"/>
      <c r="DQ39" s="250"/>
      <c r="DR39" s="250"/>
      <c r="DS39" s="1022"/>
      <c r="DV39" s="155">
        <f t="shared" si="12"/>
        <v>34</v>
      </c>
      <c r="DW39" s="166" t="str">
        <f>IF(DU6&lt;34,"",VLOOKUP(34,DC6:DO65,4,FALSE))</f>
        <v>Douša Adam</v>
      </c>
      <c r="DX39" s="155">
        <f>IF(DU6&lt;34,"",VLOOKUP(34,DC6:DO65,10,FALSE))</f>
        <v>669</v>
      </c>
      <c r="DY39" s="8"/>
      <c r="EA39">
        <f>IF(EE39="","",EM39)</f>
        <v>17</v>
      </c>
      <c r="EB39" s="980"/>
      <c r="EC39" s="1003"/>
      <c r="ED39" s="536" t="s">
        <v>220</v>
      </c>
      <c r="EE39" s="615">
        <v>132</v>
      </c>
      <c r="EF39" s="616">
        <v>164</v>
      </c>
      <c r="EG39" s="616">
        <v>147</v>
      </c>
      <c r="EH39" s="616">
        <v>153</v>
      </c>
      <c r="EI39" s="616">
        <v>134</v>
      </c>
      <c r="EJ39" s="159">
        <f>SUM(EE39:EI39)</f>
        <v>730</v>
      </c>
      <c r="EK39" s="165">
        <f>MAX(EE39:EI39)</f>
        <v>164</v>
      </c>
      <c r="EL39" s="317">
        <f>SUM(EJ39*1000)+EK39+0.21</f>
        <v>730164.21</v>
      </c>
      <c r="EM39" s="320">
        <f>IF(EE39="","",RANK(EL39,EL6:EL65,0))</f>
        <v>17</v>
      </c>
      <c r="EN39" s="159"/>
      <c r="EO39" s="250"/>
      <c r="EP39" s="250"/>
      <c r="EQ39" s="1025"/>
      <c r="ET39" s="155">
        <f t="shared" si="13"/>
        <v>34</v>
      </c>
      <c r="EU39" s="166" t="str">
        <f>IF(ES6&lt;34,"",VLOOKUP(34,EA6:EM65,4,FALSE))</f>
        <v>Mysliveček Jaroslav</v>
      </c>
      <c r="EV39" s="155">
        <f>IF(ES6&lt;34,"",VLOOKUP(34,EA6:EM65,10,FALSE))</f>
        <v>642</v>
      </c>
      <c r="EW39" s="8"/>
      <c r="EX39" s="8"/>
      <c r="EY39">
        <f>IF(FC39="","",FK39)</f>
        <v>42</v>
      </c>
      <c r="EZ39" s="1028"/>
      <c r="FA39" s="1031"/>
      <c r="FB39" s="782" t="s">
        <v>70</v>
      </c>
      <c r="FC39" s="703">
        <v>124</v>
      </c>
      <c r="FD39" s="703">
        <v>135</v>
      </c>
      <c r="FE39" s="703">
        <v>111</v>
      </c>
      <c r="FF39" s="703">
        <v>105</v>
      </c>
      <c r="FG39" s="703">
        <v>150</v>
      </c>
      <c r="FH39" s="704">
        <f>SUM(FC39:FG39)</f>
        <v>625</v>
      </c>
      <c r="FI39" s="700">
        <f>MAX(FC39:FG39)</f>
        <v>150</v>
      </c>
      <c r="FJ39" s="701">
        <f>SUM(FH39*1000)+FI39+0.21</f>
        <v>625150.21</v>
      </c>
      <c r="FK39" s="705">
        <f>IF(FC39="","",RANK(FJ39,FJ6:FJ65,0))</f>
        <v>42</v>
      </c>
      <c r="FL39" s="704"/>
      <c r="FM39" s="250"/>
      <c r="FN39" s="250"/>
      <c r="FO39" s="1057"/>
      <c r="FP39" s="8"/>
      <c r="FQ39" s="804"/>
      <c r="FR39" s="811">
        <f t="shared" si="14"/>
        <v>34</v>
      </c>
      <c r="FS39" s="809" t="str">
        <f>IF(FQ6&lt;34,"",VLOOKUP(34,EY6:FL65,4,FALSE))</f>
        <v>Turek Stanislav</v>
      </c>
      <c r="FT39" s="808">
        <f>IF(FQ6&lt;34,"",VLOOKUP(34,EY6:FL65,10,FALSE))</f>
        <v>649</v>
      </c>
      <c r="FU39" s="8"/>
      <c r="FW39" t="str">
        <f>IF(GA39="","",GI39)</f>
        <v/>
      </c>
      <c r="FX39" s="980"/>
      <c r="FY39" s="983"/>
      <c r="FZ39" s="160"/>
      <c r="GA39" s="347"/>
      <c r="GB39" s="347"/>
      <c r="GC39" s="347"/>
      <c r="GD39" s="347"/>
      <c r="GE39" s="347"/>
      <c r="GF39" s="159">
        <f>SUM(GA39:GE39)</f>
        <v>0</v>
      </c>
      <c r="GG39" s="165">
        <f>MAX(GA39:GE39)</f>
        <v>0</v>
      </c>
      <c r="GH39" s="317">
        <f>SUM(GF39*1000)+GG39+0.21</f>
        <v>0.21</v>
      </c>
      <c r="GI39" s="320" t="str">
        <f>IF(GA39="","",RANK(GH39,GH6:GH70,0))</f>
        <v/>
      </c>
      <c r="GJ39" s="159"/>
      <c r="GK39" s="250"/>
      <c r="GL39" s="250"/>
      <c r="GM39" s="1022"/>
      <c r="GP39" s="155">
        <f t="shared" si="15"/>
        <v>34</v>
      </c>
      <c r="GQ39" s="166" t="str">
        <f>IF(GO6&lt;34,"",VLOOKUP(34,FW6:GI70,4,FALSE))</f>
        <v/>
      </c>
      <c r="GR39" s="155" t="str">
        <f>IF(GO6&lt;34,"",VLOOKUP(34,FW6:GI70,10,FALSE))</f>
        <v/>
      </c>
    </row>
    <row r="40" spans="1:200" ht="15" customHeight="1">
      <c r="A40" s="915"/>
      <c r="B40" s="915"/>
      <c r="C40" s="915"/>
      <c r="D40" s="915"/>
      <c r="E40" s="915"/>
      <c r="F40" s="915"/>
      <c r="G40" s="915"/>
      <c r="H40" s="915"/>
      <c r="I40" s="915"/>
      <c r="J40" s="915"/>
      <c r="K40" s="915"/>
      <c r="L40" s="915"/>
      <c r="M40" s="915"/>
      <c r="O40">
        <f>IF(S40="","",AA40)</f>
        <v>44</v>
      </c>
      <c r="P40" s="980"/>
      <c r="Q40" s="983"/>
      <c r="R40" s="170" t="s">
        <v>184</v>
      </c>
      <c r="S40" s="327">
        <v>115</v>
      </c>
      <c r="T40" s="319">
        <v>141</v>
      </c>
      <c r="U40" s="319">
        <v>89</v>
      </c>
      <c r="V40" s="319">
        <v>101</v>
      </c>
      <c r="W40" s="319">
        <v>125</v>
      </c>
      <c r="X40" s="159">
        <f>SUM(S40:W40)</f>
        <v>571</v>
      </c>
      <c r="Y40" s="165">
        <f>MAX(S40:W40)</f>
        <v>141</v>
      </c>
      <c r="Z40" s="317">
        <f>SUM(X40*1000)+Y40+0.2</f>
        <v>571141.19999999995</v>
      </c>
      <c r="AA40" s="320">
        <f>IF(S40="","",RANK(Z40,Z6:Z65,0))</f>
        <v>44</v>
      </c>
      <c r="AB40" s="159"/>
      <c r="AC40" s="1022"/>
      <c r="AF40" s="155">
        <f t="shared" si="8"/>
        <v>35</v>
      </c>
      <c r="AG40" s="166" t="str">
        <f>IF(AE6&lt;35,"",VLOOKUP(35,O6:AA65,4,FALSE))</f>
        <v>KRUPKA JAKUB</v>
      </c>
      <c r="AH40" s="155">
        <f>IF(AE6&lt;35,"",VLOOKUP(35,O6:AA65,10,FALSE))</f>
        <v>627</v>
      </c>
      <c r="AI40" s="8"/>
      <c r="AK40">
        <f>IF(AO40="","",AW40)</f>
        <v>40</v>
      </c>
      <c r="AL40" s="980"/>
      <c r="AM40" s="983"/>
      <c r="AN40" s="240" t="s">
        <v>169</v>
      </c>
      <c r="AO40" s="327">
        <v>118</v>
      </c>
      <c r="AP40" s="319">
        <v>116</v>
      </c>
      <c r="AQ40" s="319">
        <v>116</v>
      </c>
      <c r="AR40" s="319">
        <v>141</v>
      </c>
      <c r="AS40" s="319">
        <v>120</v>
      </c>
      <c r="AT40" s="159">
        <f>SUM(AO40:AS40)</f>
        <v>611</v>
      </c>
      <c r="AU40" s="165">
        <f>MAX(AO40:AS40)</f>
        <v>141</v>
      </c>
      <c r="AV40" s="317">
        <f>SUM(AT40*1000)+AU40+0.2</f>
        <v>611141.19999999995</v>
      </c>
      <c r="AW40" s="320">
        <f>IF(AO40="","",RANK(AV40,AV6:AV65,0))</f>
        <v>40</v>
      </c>
      <c r="AX40" s="159"/>
      <c r="AY40" s="1022"/>
      <c r="BB40" s="155">
        <f t="shared" si="9"/>
        <v>35</v>
      </c>
      <c r="BC40" s="166" t="str">
        <f>IF(BA6&lt;35,"",VLOOKUP(35,AK6:AW65,4,FALSE))</f>
        <v>NOVOTNÁ PETRA</v>
      </c>
      <c r="BD40" s="155">
        <f>IF(BA6&lt;35,"",VLOOKUP(35,AK6:AW65,10,FALSE))</f>
        <v>636</v>
      </c>
      <c r="BE40" s="8"/>
      <c r="BG40">
        <f>IF(BK40="","",BS40)</f>
        <v>10</v>
      </c>
      <c r="BH40" s="980"/>
      <c r="BI40" s="983"/>
      <c r="BJ40" s="260" t="s">
        <v>158</v>
      </c>
      <c r="BK40" s="344">
        <v>167</v>
      </c>
      <c r="BL40" s="345">
        <v>153</v>
      </c>
      <c r="BM40" s="345">
        <v>171</v>
      </c>
      <c r="BN40" s="345">
        <v>143</v>
      </c>
      <c r="BO40" s="345">
        <v>180</v>
      </c>
      <c r="BP40" s="159">
        <f>SUM(BK40:BO40)</f>
        <v>814</v>
      </c>
      <c r="BQ40" s="165">
        <f>MAX(BK40:BO40)</f>
        <v>180</v>
      </c>
      <c r="BR40" s="317">
        <f>SUM(BP40*1000)+BQ40+0.2</f>
        <v>814180.2</v>
      </c>
      <c r="BS40" s="320">
        <f>IF(BK40="","",RANK(BR40,BR6:BR65,0))</f>
        <v>10</v>
      </c>
      <c r="BT40" s="159"/>
      <c r="BU40" s="250"/>
      <c r="BV40" s="250"/>
      <c r="BW40" s="1022"/>
      <c r="BZ40" s="155">
        <f t="shared" si="10"/>
        <v>35</v>
      </c>
      <c r="CA40" s="166" t="str">
        <f>IF(BY6&lt;35,"",VLOOKUP(35,BG6:BS65,4,FALSE))</f>
        <v>LAZUROVÁ JIŘINA</v>
      </c>
      <c r="CB40" s="155">
        <f>IF(BY6&lt;35,"",VLOOKUP(35,BG6:BS65,10,FALSE))</f>
        <v>669</v>
      </c>
      <c r="CC40" s="8"/>
      <c r="CE40">
        <f>IF(CI40="","",CQ40)</f>
        <v>46</v>
      </c>
      <c r="CF40" s="980"/>
      <c r="CG40" s="983"/>
      <c r="CH40" s="281" t="s">
        <v>204</v>
      </c>
      <c r="CI40" s="327">
        <v>97</v>
      </c>
      <c r="CJ40" s="327">
        <v>102</v>
      </c>
      <c r="CK40" s="327">
        <v>123</v>
      </c>
      <c r="CL40" s="327">
        <v>114</v>
      </c>
      <c r="CM40" s="327">
        <v>99</v>
      </c>
      <c r="CN40" s="159">
        <f>SUM(CI40:CM40)</f>
        <v>535</v>
      </c>
      <c r="CO40" s="165">
        <f>MAX(CI40:CM40)</f>
        <v>123</v>
      </c>
      <c r="CP40" s="317">
        <f>SUM(CN40*1000)+CO40+0.2</f>
        <v>535123.19999999995</v>
      </c>
      <c r="CQ40" s="320">
        <f>IF(CI40="","",RANK(CP40,CP6:CP65,0))</f>
        <v>46</v>
      </c>
      <c r="CR40" s="159"/>
      <c r="CS40" s="250"/>
      <c r="CT40" s="250"/>
      <c r="CU40" s="1022"/>
      <c r="CX40" s="155">
        <f t="shared" si="11"/>
        <v>35</v>
      </c>
      <c r="CY40" s="166" t="str">
        <f>IF(CW6&lt;35,"",VLOOKUP(35,CE6:CQ65,4,FALSE))</f>
        <v>RŮŽIČKA VÁCLAV</v>
      </c>
      <c r="CZ40" s="155">
        <f>IF(CW6&lt;35,"",VLOOKUP(35,CE6:CQ65,10,FALSE))</f>
        <v>619</v>
      </c>
      <c r="DA40" s="8"/>
      <c r="DC40">
        <f>IF(DG40="","",DO40)</f>
        <v>19</v>
      </c>
      <c r="DD40" s="980"/>
      <c r="DE40" s="989"/>
      <c r="DF40" s="538" t="s">
        <v>105</v>
      </c>
      <c r="DG40" s="347">
        <v>154</v>
      </c>
      <c r="DH40" s="347">
        <v>146</v>
      </c>
      <c r="DI40" s="347">
        <v>127</v>
      </c>
      <c r="DJ40" s="347">
        <v>144</v>
      </c>
      <c r="DK40" s="347">
        <v>152</v>
      </c>
      <c r="DL40" s="159">
        <f>SUM(DG40:DK40)</f>
        <v>723</v>
      </c>
      <c r="DM40" s="165">
        <f>MAX(DG40:DK40)</f>
        <v>154</v>
      </c>
      <c r="DN40" s="317">
        <f>SUM(DL40*1000)+DM40+0.2</f>
        <v>723154.2</v>
      </c>
      <c r="DO40" s="320">
        <f>IF(DG40="","",RANK(DN40,DN6:DN65,0))</f>
        <v>19</v>
      </c>
      <c r="DP40" s="159"/>
      <c r="DQ40" s="250"/>
      <c r="DR40" s="250"/>
      <c r="DS40" s="1022"/>
      <c r="DV40" s="155">
        <f t="shared" si="12"/>
        <v>35</v>
      </c>
      <c r="DW40" s="166" t="str">
        <f>IF(DU6&lt;35,"",VLOOKUP(35,DC6:DO65,4,FALSE))</f>
        <v>Sladovník Miloslav</v>
      </c>
      <c r="DX40" s="155">
        <f>IF(DU6&lt;35,"",VLOOKUP(35,DC6:DO65,10,FALSE))</f>
        <v>668</v>
      </c>
      <c r="DY40" s="8"/>
      <c r="EA40">
        <f>IF(EE40="","",EM40)</f>
        <v>23</v>
      </c>
      <c r="EB40" s="980"/>
      <c r="EC40" s="1003"/>
      <c r="ED40" s="536" t="s">
        <v>118</v>
      </c>
      <c r="EE40" s="615">
        <v>122</v>
      </c>
      <c r="EF40" s="616">
        <v>170</v>
      </c>
      <c r="EG40" s="616">
        <v>131</v>
      </c>
      <c r="EH40" s="616">
        <v>130</v>
      </c>
      <c r="EI40" s="616">
        <v>142</v>
      </c>
      <c r="EJ40" s="159">
        <f>SUM(EE40:EI40)</f>
        <v>695</v>
      </c>
      <c r="EK40" s="165">
        <f>MAX(EE40:EI40)</f>
        <v>170</v>
      </c>
      <c r="EL40" s="317">
        <f>SUM(EJ40*1000)+EK40+0.2</f>
        <v>695170.2</v>
      </c>
      <c r="EM40" s="320">
        <f>IF(EE40="","",RANK(EL40,EL6:EL65,0))</f>
        <v>23</v>
      </c>
      <c r="EN40" s="159"/>
      <c r="EO40" s="250"/>
      <c r="EP40" s="250"/>
      <c r="EQ40" s="1025"/>
      <c r="ET40" s="155">
        <f t="shared" si="13"/>
        <v>35</v>
      </c>
      <c r="EU40" s="166" t="str">
        <f>IF(ES6&lt;35,"",VLOOKUP(35,EA6:EM65,4,FALSE))</f>
        <v>Křápek Roman</v>
      </c>
      <c r="EV40" s="155">
        <f>IF(ES6&lt;35,"",VLOOKUP(35,EA6:EM65,10,FALSE))</f>
        <v>633</v>
      </c>
      <c r="EW40" s="8"/>
      <c r="EX40" s="8"/>
      <c r="EY40">
        <f>IF(FC40="","",FK40)</f>
        <v>28</v>
      </c>
      <c r="EZ40" s="1028"/>
      <c r="FA40" s="1031"/>
      <c r="FB40" s="783" t="s">
        <v>81</v>
      </c>
      <c r="FC40" s="706">
        <v>124</v>
      </c>
      <c r="FD40" s="706">
        <v>101</v>
      </c>
      <c r="FE40" s="706">
        <v>172</v>
      </c>
      <c r="FF40" s="706">
        <v>164</v>
      </c>
      <c r="FG40" s="706">
        <v>114</v>
      </c>
      <c r="FH40" s="707">
        <f>SUM(FC40:FG40)</f>
        <v>675</v>
      </c>
      <c r="FI40" s="708">
        <f>MAX(FC40:FG40)</f>
        <v>172</v>
      </c>
      <c r="FJ40" s="709">
        <f>SUM(FH40*1000)+FI40+0.2</f>
        <v>675172.2</v>
      </c>
      <c r="FK40" s="710">
        <f>IF(FC40="","",RANK(FJ40,FJ6:FJ65,0))</f>
        <v>28</v>
      </c>
      <c r="FL40" s="707"/>
      <c r="FM40" s="250"/>
      <c r="FN40" s="250"/>
      <c r="FO40" s="1057"/>
      <c r="FP40" s="8"/>
      <c r="FQ40" s="804"/>
      <c r="FR40" s="811">
        <f t="shared" si="14"/>
        <v>35</v>
      </c>
      <c r="FS40" s="809" t="str">
        <f>IF(FQ6&lt;35,"",VLOOKUP(35,EY6:FL65,4,FALSE))</f>
        <v>Skružná Pavla</v>
      </c>
      <c r="FT40" s="808">
        <f>IF(FQ6&lt;35,"",VLOOKUP(35,EY6:FL65,10,FALSE))</f>
        <v>647</v>
      </c>
      <c r="FU40" s="8"/>
      <c r="FW40" t="str">
        <f>IF(GA40="","",GI40)</f>
        <v/>
      </c>
      <c r="FX40" s="980"/>
      <c r="FY40" s="983"/>
      <c r="FZ40" s="160"/>
      <c r="GA40" s="347"/>
      <c r="GB40" s="347"/>
      <c r="GC40" s="347"/>
      <c r="GD40" s="347"/>
      <c r="GE40" s="347"/>
      <c r="GF40" s="159">
        <f>SUM(GA40:GE40)</f>
        <v>0</v>
      </c>
      <c r="GG40" s="165">
        <f>MAX(GA40:GE40)</f>
        <v>0</v>
      </c>
      <c r="GH40" s="317">
        <f>SUM(GF40*1000)+GG40+0.2</f>
        <v>0.2</v>
      </c>
      <c r="GI40" s="320" t="str">
        <f>IF(GA40="","",RANK(GH40,GH6:GH70,0))</f>
        <v/>
      </c>
      <c r="GJ40" s="159"/>
      <c r="GK40" s="250"/>
      <c r="GL40" s="250"/>
      <c r="GM40" s="1022"/>
      <c r="GP40" s="155">
        <f t="shared" si="15"/>
        <v>35</v>
      </c>
      <c r="GQ40" s="166" t="str">
        <f>IF(GO6&lt;35,"",VLOOKUP(35,FW6:GI70,4,FALSE))</f>
        <v/>
      </c>
      <c r="GR40" s="155" t="str">
        <f>IF(GO6&lt;35,"",VLOOKUP(35,FW6:GI70,10,FALSE))</f>
        <v/>
      </c>
    </row>
    <row r="41" spans="1:200" ht="15" customHeight="1">
      <c r="A41" s="915"/>
      <c r="B41" s="915"/>
      <c r="C41" s="915"/>
      <c r="D41" s="915"/>
      <c r="E41" s="915"/>
      <c r="F41" s="915"/>
      <c r="G41" s="915"/>
      <c r="H41" s="915"/>
      <c r="I41" s="915"/>
      <c r="J41" s="915"/>
      <c r="K41" s="915"/>
      <c r="L41" s="915"/>
      <c r="M41" s="915"/>
      <c r="P41" s="981"/>
      <c r="Q41" s="984"/>
      <c r="R41" s="162"/>
      <c r="S41" s="331">
        <f>SUM(S36:S40)</f>
        <v>614</v>
      </c>
      <c r="T41" s="321">
        <f>SUM(T36:T40)</f>
        <v>614</v>
      </c>
      <c r="U41" s="321">
        <f>SUM(U36:U40)</f>
        <v>592</v>
      </c>
      <c r="V41" s="321">
        <f>SUM(V36:V40)</f>
        <v>596</v>
      </c>
      <c r="W41" s="321">
        <f>SUM(W36:W40)</f>
        <v>546</v>
      </c>
      <c r="X41" s="322"/>
      <c r="Y41" s="322"/>
      <c r="Z41" s="334"/>
      <c r="AA41" s="322"/>
      <c r="AB41" s="323">
        <f>SUM(S41:W41)</f>
        <v>2962</v>
      </c>
      <c r="AC41" s="1023"/>
      <c r="AF41" s="155">
        <f t="shared" si="8"/>
        <v>36</v>
      </c>
      <c r="AG41" s="166" t="str">
        <f>IF(AE6&lt;36,"",VLOOKUP(36,O6:AA65,4,FALSE))</f>
        <v>ŠAFÁŘ VLADIMÍR</v>
      </c>
      <c r="AH41" s="155">
        <f>IF(AE6&lt;36,"",VLOOKUP(36,O6:AA65,10,FALSE))</f>
        <v>616</v>
      </c>
      <c r="AI41" s="8"/>
      <c r="AL41" s="981"/>
      <c r="AM41" s="984"/>
      <c r="AN41" s="172"/>
      <c r="AO41" s="341">
        <f>SUM(AO36:AO40)</f>
        <v>645</v>
      </c>
      <c r="AP41" s="339">
        <f>SUM(AP36:AP40)</f>
        <v>624</v>
      </c>
      <c r="AQ41" s="339">
        <f>SUM(AQ36:AQ40)</f>
        <v>713</v>
      </c>
      <c r="AR41" s="339">
        <f>SUM(AR36:AR40)</f>
        <v>640</v>
      </c>
      <c r="AS41" s="339">
        <f>SUM(AS36:AS40)</f>
        <v>691</v>
      </c>
      <c r="AT41" s="322"/>
      <c r="AU41" s="322"/>
      <c r="AV41" s="334"/>
      <c r="AW41" s="322"/>
      <c r="AX41" s="323">
        <f>SUM(AO41:AS41)</f>
        <v>3313</v>
      </c>
      <c r="AY41" s="1023"/>
      <c r="BB41" s="155">
        <f t="shared" si="9"/>
        <v>36</v>
      </c>
      <c r="BC41" s="166" t="str">
        <f>IF(BA6&lt;36,"",VLOOKUP(36,AK6:AW65,4,FALSE))</f>
        <v>KŘÁPEK ROMAN</v>
      </c>
      <c r="BD41" s="155">
        <f>IF(BA6&lt;36,"",VLOOKUP(36,AK6:AW65,10,FALSE))</f>
        <v>632</v>
      </c>
      <c r="BE41" s="8"/>
      <c r="BH41" s="981"/>
      <c r="BI41" s="984"/>
      <c r="BJ41" s="172"/>
      <c r="BK41" s="341">
        <f>SUM(BK36:BK40)</f>
        <v>739</v>
      </c>
      <c r="BL41" s="339">
        <f>SUM(BL36:BL40)</f>
        <v>795</v>
      </c>
      <c r="BM41" s="339">
        <f>SUM(BM36:BM40)</f>
        <v>811</v>
      </c>
      <c r="BN41" s="339">
        <f>SUM(BN36:BN40)</f>
        <v>799</v>
      </c>
      <c r="BO41" s="339">
        <f>SUM(BO36:BO40)</f>
        <v>862</v>
      </c>
      <c r="BP41" s="322"/>
      <c r="BQ41" s="322"/>
      <c r="BR41" s="334"/>
      <c r="BS41" s="322"/>
      <c r="BT41" s="323">
        <f>SUM(BK41:BO41)</f>
        <v>4006</v>
      </c>
      <c r="BU41" s="163">
        <f>MAX(BK41:BO41)</f>
        <v>862</v>
      </c>
      <c r="BV41" s="163">
        <f>IF(BK36="","",SUM(BT41*10000)+BU41)</f>
        <v>40060862</v>
      </c>
      <c r="BW41" s="1023"/>
      <c r="BZ41" s="155">
        <f t="shared" si="10"/>
        <v>36</v>
      </c>
      <c r="CA41" s="166" t="str">
        <f>IF(BY6&lt;36,"",VLOOKUP(36,BG6:BS65,4,FALSE))</f>
        <v>KUČERA MIROSLAV</v>
      </c>
      <c r="CB41" s="155">
        <f>IF(BY6&lt;36,"",VLOOKUP(36,BG6:BS65,10,FALSE))</f>
        <v>665</v>
      </c>
      <c r="CC41" s="8"/>
      <c r="CF41" s="981"/>
      <c r="CG41" s="984"/>
      <c r="CH41" s="172"/>
      <c r="CI41" s="341">
        <f>SUM(CI36:CI40)</f>
        <v>575</v>
      </c>
      <c r="CJ41" s="339">
        <f>SUM(CJ36:CJ40)</f>
        <v>493</v>
      </c>
      <c r="CK41" s="339">
        <f>SUM(CK36:CK40)</f>
        <v>561</v>
      </c>
      <c r="CL41" s="339">
        <f>SUM(CL36:CL40)</f>
        <v>556</v>
      </c>
      <c r="CM41" s="339">
        <f>SUM(CM36:CM40)</f>
        <v>530</v>
      </c>
      <c r="CN41" s="322"/>
      <c r="CO41" s="322"/>
      <c r="CP41" s="334"/>
      <c r="CQ41" s="322"/>
      <c r="CR41" s="323">
        <f>SUM(CI41:CM41)</f>
        <v>2715</v>
      </c>
      <c r="CS41" s="163">
        <f>MAX(CI41:CM41)</f>
        <v>575</v>
      </c>
      <c r="CT41" s="163">
        <f>IF(CI36="","",SUM(CR41*1000)+CS41)</f>
        <v>2715575</v>
      </c>
      <c r="CU41" s="1023"/>
      <c r="CX41" s="155">
        <f t="shared" si="11"/>
        <v>36</v>
      </c>
      <c r="CY41" s="166" t="str">
        <f>IF(CW6&lt;36,"",VLOOKUP(36,CE6:CQ65,4,FALSE))</f>
        <v>TICHÝ HUGO</v>
      </c>
      <c r="CZ41" s="155">
        <f>IF(CW6&lt;36,"",VLOOKUP(36,CE6:CQ65,10,FALSE))</f>
        <v>618</v>
      </c>
      <c r="DA41" s="8"/>
      <c r="DD41" s="981"/>
      <c r="DE41" s="990"/>
      <c r="DF41" s="172"/>
      <c r="DG41" s="341">
        <f>SUM(DG36:DG40)</f>
        <v>641</v>
      </c>
      <c r="DH41" s="339">
        <f>SUM(DH36:DH40)</f>
        <v>593</v>
      </c>
      <c r="DI41" s="339">
        <f>SUM(DI36:DI40)</f>
        <v>599</v>
      </c>
      <c r="DJ41" s="339">
        <f>SUM(DJ36:DJ40)</f>
        <v>651</v>
      </c>
      <c r="DK41" s="339">
        <f>SUM(DK36:DK40)</f>
        <v>658</v>
      </c>
      <c r="DL41" s="322"/>
      <c r="DM41" s="322"/>
      <c r="DN41" s="334"/>
      <c r="DO41" s="322"/>
      <c r="DP41" s="323">
        <f>SUM(DG41:DK41)</f>
        <v>3142</v>
      </c>
      <c r="DQ41" s="163">
        <f>MAX(DG41:DK41)</f>
        <v>658</v>
      </c>
      <c r="DR41" s="163">
        <f>IF(DG36="","",SUM(DP41*1000)+DQ41)</f>
        <v>3142658</v>
      </c>
      <c r="DS41" s="1023"/>
      <c r="DV41" s="155">
        <f t="shared" si="12"/>
        <v>36</v>
      </c>
      <c r="DW41" s="166" t="str">
        <f>IF(DU6&lt;36,"",VLOOKUP(36,DC6:DO65,4,FALSE))</f>
        <v>Štěpán Radek</v>
      </c>
      <c r="DX41" s="155">
        <f>IF(DU6&lt;36,"",VLOOKUP(36,DC6:DO65,10,FALSE))</f>
        <v>667</v>
      </c>
      <c r="DY41" s="8"/>
      <c r="EB41" s="981"/>
      <c r="EC41" s="1004"/>
      <c r="ED41" s="162"/>
      <c r="EE41" s="331">
        <f>SUM(EE36:EE40)</f>
        <v>592</v>
      </c>
      <c r="EF41" s="321">
        <f>SUM(EF36:EF40)</f>
        <v>728</v>
      </c>
      <c r="EG41" s="321">
        <f>SUM(EG36:EG40)</f>
        <v>662</v>
      </c>
      <c r="EH41" s="321">
        <f>SUM(EH36:EH40)</f>
        <v>693</v>
      </c>
      <c r="EI41" s="321">
        <f>SUM(EI36:EI40)</f>
        <v>608</v>
      </c>
      <c r="EJ41" s="322"/>
      <c r="EK41" s="322"/>
      <c r="EL41" s="334"/>
      <c r="EM41" s="322"/>
      <c r="EN41" s="323">
        <f>SUM(EE41:EI41)</f>
        <v>3283</v>
      </c>
      <c r="EO41" s="163">
        <f>MAX(EE41:EI41)</f>
        <v>728</v>
      </c>
      <c r="EP41" s="163">
        <f>IF(EE36="","",SUM(EN41*1000)+EO41)</f>
        <v>3283728</v>
      </c>
      <c r="EQ41" s="1026"/>
      <c r="ET41" s="155">
        <f t="shared" si="13"/>
        <v>36</v>
      </c>
      <c r="EU41" s="166" t="str">
        <f>IF(ES6&lt;36,"",VLOOKUP(36,EA6:EM65,4,FALSE))</f>
        <v>Šafář Ladislav</v>
      </c>
      <c r="EV41" s="155">
        <f>IF(ES6&lt;36,"",VLOOKUP(36,EA6:EM65,10,FALSE))</f>
        <v>631</v>
      </c>
      <c r="EW41" s="8"/>
      <c r="EX41" s="8"/>
      <c r="EZ41" s="1029"/>
      <c r="FA41" s="1032"/>
      <c r="FB41" s="747"/>
      <c r="FC41" s="756">
        <f>SUM(FC36:FC40)</f>
        <v>642</v>
      </c>
      <c r="FD41" s="757">
        <f>SUM(FD36:FD40)</f>
        <v>583</v>
      </c>
      <c r="FE41" s="757">
        <f>SUM(FE36:FE40)</f>
        <v>658</v>
      </c>
      <c r="FF41" s="756">
        <f>SUM(FF36:FF40)</f>
        <v>678</v>
      </c>
      <c r="FG41" s="757">
        <f>SUM(FG36:FG40)</f>
        <v>666</v>
      </c>
      <c r="FH41" s="758"/>
      <c r="FI41" s="759"/>
      <c r="FJ41" s="760"/>
      <c r="FK41" s="759"/>
      <c r="FL41" s="761">
        <f>SUM(FC41:FG41)</f>
        <v>3227</v>
      </c>
      <c r="FM41" s="743">
        <f>MAX(FC41:FG41)</f>
        <v>678</v>
      </c>
      <c r="FN41" s="743">
        <f>IF(FC36="","",SUM(FL41*1000)+FM41)</f>
        <v>3227678</v>
      </c>
      <c r="FO41" s="1057"/>
      <c r="FP41" s="8"/>
      <c r="FQ41" s="804"/>
      <c r="FR41" s="811">
        <f t="shared" si="14"/>
        <v>36</v>
      </c>
      <c r="FS41" s="809" t="str">
        <f>IF(FQ6&lt;36,"",VLOOKUP(36,EY6:FL65,4,FALSE))</f>
        <v>Křikava Miroslav</v>
      </c>
      <c r="FT41" s="808">
        <f>IF(FQ6&lt;36,"",VLOOKUP(36,EY6:FL65,10,FALSE))</f>
        <v>644</v>
      </c>
      <c r="FU41" s="8"/>
      <c r="FX41" s="981"/>
      <c r="FY41" s="984"/>
      <c r="FZ41" s="172"/>
      <c r="GA41" s="341">
        <f>SUM(GA36:GA40)</f>
        <v>0</v>
      </c>
      <c r="GB41" s="339">
        <f>SUM(GB36:GB40)</f>
        <v>0</v>
      </c>
      <c r="GC41" s="339">
        <f>SUM(GC36:GC40)</f>
        <v>0</v>
      </c>
      <c r="GD41" s="339">
        <f>SUM(GD36:GD40)</f>
        <v>0</v>
      </c>
      <c r="GE41" s="339">
        <f>SUM(GE36:GE40)</f>
        <v>0</v>
      </c>
      <c r="GF41" s="322"/>
      <c r="GG41" s="322"/>
      <c r="GH41" s="334"/>
      <c r="GI41" s="322"/>
      <c r="GJ41" s="323">
        <f>SUM(GA41:GE41)</f>
        <v>0</v>
      </c>
      <c r="GK41" s="163">
        <f>MAX(GA41:GE41)</f>
        <v>0</v>
      </c>
      <c r="GL41" s="163" t="str">
        <f>IF(GA36="","",SUM(GJ41*1000)+GK41)</f>
        <v/>
      </c>
      <c r="GM41" s="1023"/>
      <c r="GP41" s="155">
        <f t="shared" si="15"/>
        <v>36</v>
      </c>
      <c r="GQ41" s="166" t="str">
        <f>IF(GO6&lt;36,"",VLOOKUP(36,FW6:GI70,4,FALSE))</f>
        <v/>
      </c>
      <c r="GR41" s="155" t="str">
        <f>IF(GO6&lt;36,"",VLOOKUP(36,FW6:GI70,10,FALSE))</f>
        <v/>
      </c>
    </row>
    <row r="42" spans="1:200" ht="15" customHeight="1">
      <c r="A42" s="915"/>
      <c r="B42" s="915"/>
      <c r="C42" s="915"/>
      <c r="D42" s="915"/>
      <c r="E42" s="915"/>
      <c r="F42" s="915"/>
      <c r="G42" s="915"/>
      <c r="H42" s="915"/>
      <c r="I42" s="915"/>
      <c r="J42" s="915"/>
      <c r="K42" s="915"/>
      <c r="L42" s="915"/>
      <c r="M42" s="915"/>
      <c r="O42">
        <f>IF(S42="","",AA42)</f>
        <v>9</v>
      </c>
      <c r="P42" s="979">
        <v>7</v>
      </c>
      <c r="Q42" s="982" t="s">
        <v>185</v>
      </c>
      <c r="R42" s="174" t="s">
        <v>186</v>
      </c>
      <c r="S42" s="324">
        <v>143</v>
      </c>
      <c r="T42" s="325">
        <v>119</v>
      </c>
      <c r="U42" s="325">
        <v>136</v>
      </c>
      <c r="V42" s="325">
        <v>201</v>
      </c>
      <c r="W42" s="325">
        <v>200</v>
      </c>
      <c r="X42" s="165">
        <f>SUM(S42:W42)</f>
        <v>799</v>
      </c>
      <c r="Y42" s="165">
        <f>MAX(S42:W42)</f>
        <v>201</v>
      </c>
      <c r="Z42" s="317">
        <f>SUM(X42*1000)+Y42+0.19</f>
        <v>799201.19</v>
      </c>
      <c r="AA42" s="318">
        <f>IF(S42="","",RANK(Z42,Z6:Z65,0))</f>
        <v>9</v>
      </c>
      <c r="AB42" s="165"/>
      <c r="AC42" s="1021">
        <f>RANK(AB47,AB11:AB65,0)</f>
        <v>5</v>
      </c>
      <c r="AF42" s="155">
        <f t="shared" si="8"/>
        <v>37</v>
      </c>
      <c r="AG42" s="166" t="str">
        <f>IF(AE6&lt;37,"",VLOOKUP(37,O6:AA65,4,FALSE))</f>
        <v>SKRUŽNÁ PAVLA</v>
      </c>
      <c r="AH42" s="155">
        <f>IF(AE6&lt;37,"",VLOOKUP(37,O6:AA65,10,FALSE))</f>
        <v>616</v>
      </c>
      <c r="AI42" s="8"/>
      <c r="AK42">
        <f>IF(AO42="","",AW42)</f>
        <v>15</v>
      </c>
      <c r="AL42" s="979">
        <v>7</v>
      </c>
      <c r="AM42" s="982" t="s">
        <v>173</v>
      </c>
      <c r="AN42" s="242" t="s">
        <v>182</v>
      </c>
      <c r="AO42" s="338">
        <v>172</v>
      </c>
      <c r="AP42" s="316">
        <v>139</v>
      </c>
      <c r="AQ42" s="316">
        <v>146</v>
      </c>
      <c r="AR42" s="316">
        <v>167</v>
      </c>
      <c r="AS42" s="316">
        <v>144</v>
      </c>
      <c r="AT42" s="165">
        <f>SUM(AO42:AS42)</f>
        <v>768</v>
      </c>
      <c r="AU42" s="165">
        <f>MAX(AO42:AS42)</f>
        <v>172</v>
      </c>
      <c r="AV42" s="317">
        <f>SUM(AT42*1000)+AU42+0.19</f>
        <v>768172.19</v>
      </c>
      <c r="AW42" s="318">
        <f>IF(AO42="","",RANK(AV42,AV6:AV65,0))</f>
        <v>15</v>
      </c>
      <c r="AX42" s="165"/>
      <c r="AY42" s="1021">
        <f>RANK(AX47,AX11:AX65,0)</f>
        <v>3</v>
      </c>
      <c r="BB42" s="155">
        <f t="shared" si="9"/>
        <v>37</v>
      </c>
      <c r="BC42" s="166" t="str">
        <f>IF(BA6&lt;37,"",VLOOKUP(37,AK6:AW65,4,FALSE))</f>
        <v>ŽALUD MIROSLAV</v>
      </c>
      <c r="BD42" s="155">
        <f>IF(BA6&lt;37,"",VLOOKUP(37,AK6:AW65,10,FALSE))</f>
        <v>625</v>
      </c>
      <c r="BE42" s="8"/>
      <c r="BG42">
        <f>IF(BK42="","",BS42)</f>
        <v>20</v>
      </c>
      <c r="BH42" s="979">
        <v>7</v>
      </c>
      <c r="BI42" s="982" t="s">
        <v>160</v>
      </c>
      <c r="BJ42" s="262" t="s">
        <v>162</v>
      </c>
      <c r="BK42" s="342">
        <v>161</v>
      </c>
      <c r="BL42" s="343">
        <v>145</v>
      </c>
      <c r="BM42" s="343">
        <v>117</v>
      </c>
      <c r="BN42" s="343">
        <v>179</v>
      </c>
      <c r="BO42" s="343">
        <v>131</v>
      </c>
      <c r="BP42" s="165">
        <f>SUM(BK42:BO42)</f>
        <v>733</v>
      </c>
      <c r="BQ42" s="165">
        <f>MAX(BK42:BO42)</f>
        <v>179</v>
      </c>
      <c r="BR42" s="317">
        <f>SUM(BP42*1000)+BQ42+0.19</f>
        <v>733179.19</v>
      </c>
      <c r="BS42" s="318">
        <f>IF(BK42="","",RANK(BR42,BR6:BR65,0))</f>
        <v>20</v>
      </c>
      <c r="BT42" s="165"/>
      <c r="BU42" s="249"/>
      <c r="BV42" s="249"/>
      <c r="BW42" s="1021">
        <f>IF(BK42="","",RANK(BV47,BV11:BV65,0))</f>
        <v>2</v>
      </c>
      <c r="BZ42" s="155">
        <f t="shared" si="10"/>
        <v>37</v>
      </c>
      <c r="CA42" s="166" t="str">
        <f>IF(BY6&lt;37,"",VLOOKUP(37,BG6:BS65,4,FALSE))</f>
        <v>ŠAFÁŘ BOHUMIL</v>
      </c>
      <c r="CB42" s="155">
        <f>IF(BY6&lt;37,"",VLOOKUP(37,BG6:BS65,10,FALSE))</f>
        <v>660</v>
      </c>
      <c r="CC42" s="8"/>
      <c r="CE42">
        <f>IF(CI42="","",CQ42)</f>
        <v>13</v>
      </c>
      <c r="CF42" s="979">
        <v>7</v>
      </c>
      <c r="CG42" s="982" t="s">
        <v>138</v>
      </c>
      <c r="CH42" s="282" t="s">
        <v>142</v>
      </c>
      <c r="CI42" s="324">
        <v>111</v>
      </c>
      <c r="CJ42" s="324">
        <v>137</v>
      </c>
      <c r="CK42" s="324">
        <v>181</v>
      </c>
      <c r="CL42" s="324">
        <v>186</v>
      </c>
      <c r="CM42" s="324">
        <v>146</v>
      </c>
      <c r="CN42" s="165">
        <f>SUM(CI42:CM42)</f>
        <v>761</v>
      </c>
      <c r="CO42" s="165">
        <f>MAX(CI42:CM42)</f>
        <v>186</v>
      </c>
      <c r="CP42" s="317">
        <f>SUM(CN42*1000)+CO42+0.19</f>
        <v>761186.19</v>
      </c>
      <c r="CQ42" s="318">
        <f>IF(CI42="","",RANK(CP42,CP6:CP65,0))</f>
        <v>13</v>
      </c>
      <c r="CR42" s="165"/>
      <c r="CS42" s="249"/>
      <c r="CT42" s="249"/>
      <c r="CU42" s="1021">
        <f>IF(CI42="","",RANK(CT47,CT11:CT65,0))</f>
        <v>7</v>
      </c>
      <c r="CX42" s="155">
        <f t="shared" si="11"/>
        <v>37</v>
      </c>
      <c r="CY42" s="166" t="str">
        <f>IF(CW6&lt;37,"",VLOOKUP(37,CE6:CQ65,4,FALSE))</f>
        <v>FAY VLASTIMIL</v>
      </c>
      <c r="CZ42" s="155">
        <f>IF(CW6&lt;37,"",VLOOKUP(37,CE6:CQ65,10,FALSE))</f>
        <v>601</v>
      </c>
      <c r="DA42" s="8"/>
      <c r="DC42">
        <f>IF(DG42="","",DO42)</f>
        <v>16</v>
      </c>
      <c r="DD42" s="979">
        <v>7</v>
      </c>
      <c r="DE42" s="988" t="s">
        <v>197</v>
      </c>
      <c r="DF42" s="539" t="s">
        <v>28</v>
      </c>
      <c r="DG42" s="346">
        <v>152</v>
      </c>
      <c r="DH42" s="346">
        <v>132</v>
      </c>
      <c r="DI42" s="346">
        <v>192</v>
      </c>
      <c r="DJ42" s="346">
        <v>153</v>
      </c>
      <c r="DK42" s="346">
        <v>128</v>
      </c>
      <c r="DL42" s="165">
        <f>SUM(DG42:DK42)</f>
        <v>757</v>
      </c>
      <c r="DM42" s="165">
        <f>MAX(DG42:DK42)</f>
        <v>192</v>
      </c>
      <c r="DN42" s="317">
        <f>SUM(DL42*1000)+DM42+0.19</f>
        <v>757192.19</v>
      </c>
      <c r="DO42" s="318">
        <f>IF(DG42="","",RANK(DN42,DN6:DN65,0))</f>
        <v>16</v>
      </c>
      <c r="DP42" s="165"/>
      <c r="DQ42" s="249"/>
      <c r="DR42" s="249"/>
      <c r="DS42" s="1021">
        <f>IF(DG42="","",RANK(DR47,DR11:DR65,0))</f>
        <v>2</v>
      </c>
      <c r="DV42" s="155">
        <f t="shared" si="12"/>
        <v>37</v>
      </c>
      <c r="DW42" s="166" t="str">
        <f>IF(DU6&lt;37,"",VLOOKUP(37,DC6:DO65,4,FALSE))</f>
        <v>Řehák Jaroslav</v>
      </c>
      <c r="DX42" s="155">
        <f>IF(DU6&lt;37,"",VLOOKUP(37,DC6:DO65,10,FALSE))</f>
        <v>649</v>
      </c>
      <c r="DY42" s="8"/>
      <c r="EA42">
        <f>IF(EE42="","",EM42)</f>
        <v>7</v>
      </c>
      <c r="EB42" s="979">
        <v>7</v>
      </c>
      <c r="EC42" s="1005" t="s">
        <v>185</v>
      </c>
      <c r="ED42" s="642" t="s">
        <v>96</v>
      </c>
      <c r="EE42" s="638">
        <v>160</v>
      </c>
      <c r="EF42" s="639">
        <v>169</v>
      </c>
      <c r="EG42" s="639">
        <v>176</v>
      </c>
      <c r="EH42" s="639">
        <v>182</v>
      </c>
      <c r="EI42" s="639">
        <v>160</v>
      </c>
      <c r="EJ42" s="629">
        <f>SUM(EE42:EI42)</f>
        <v>847</v>
      </c>
      <c r="EK42" s="165">
        <f>MAX(EE42:EI42)</f>
        <v>182</v>
      </c>
      <c r="EL42" s="317">
        <f>SUM(EJ42*1000)+EK42+0.19</f>
        <v>847182.19</v>
      </c>
      <c r="EM42" s="318">
        <f>IF(EE42="","",RANK(EL42,EL6:EL65,0))</f>
        <v>7</v>
      </c>
      <c r="EN42" s="165"/>
      <c r="EO42" s="249"/>
      <c r="EP42" s="249"/>
      <c r="EQ42" s="1024">
        <f>IF(EE42="","",RANK(EP47,EP11:EP65,0))</f>
        <v>4</v>
      </c>
      <c r="ET42" s="155">
        <f t="shared" si="13"/>
        <v>37</v>
      </c>
      <c r="EU42" s="166" t="str">
        <f>IF(ES6&lt;37,"",VLOOKUP(37,EA6:EM65,4,FALSE))</f>
        <v>Kutina Pavel</v>
      </c>
      <c r="EV42" s="155">
        <f>IF(ES6&lt;37,"",VLOOKUP(37,EA6:EM65,10,FALSE))</f>
        <v>627</v>
      </c>
      <c r="EW42" s="8"/>
      <c r="EX42" s="8"/>
      <c r="EY42">
        <f>IF(FC42="","",FK42)</f>
        <v>31</v>
      </c>
      <c r="EZ42" s="1038">
        <v>7</v>
      </c>
      <c r="FA42" s="1034" t="s">
        <v>173</v>
      </c>
      <c r="FB42" s="787" t="s">
        <v>32</v>
      </c>
      <c r="FC42" s="794">
        <v>104</v>
      </c>
      <c r="FD42" s="794">
        <v>125</v>
      </c>
      <c r="FE42" s="794">
        <v>160</v>
      </c>
      <c r="FF42" s="794">
        <v>130</v>
      </c>
      <c r="FG42" s="794">
        <v>149</v>
      </c>
      <c r="FH42" s="711">
        <f>SUM(FC42:FG42)</f>
        <v>668</v>
      </c>
      <c r="FI42" s="711">
        <f>MAX(FC42:FG42)</f>
        <v>160</v>
      </c>
      <c r="FJ42" s="712">
        <f>SUM(FH42*1000)+FI42+0.19</f>
        <v>668160.18999999994</v>
      </c>
      <c r="FK42" s="713">
        <f>IF(FC42="","",RANK(FJ42,FJ6:FJ65,0))</f>
        <v>31</v>
      </c>
      <c r="FL42" s="711"/>
      <c r="FM42" s="249"/>
      <c r="FN42" s="249"/>
      <c r="FO42" s="1033">
        <f>IF(FC42="","",RANK(FN47,FN11:FN65,0))</f>
        <v>2</v>
      </c>
      <c r="FP42" s="8"/>
      <c r="FQ42" s="804"/>
      <c r="FR42" s="811">
        <f t="shared" si="14"/>
        <v>37</v>
      </c>
      <c r="FS42" s="809" t="str">
        <f>IF(FQ6&lt;37,"",VLOOKUP(37,EY6:FL65,4,FALSE))</f>
        <v>Štěpán Radek</v>
      </c>
      <c r="FT42" s="808">
        <f>IF(FQ6&lt;37,"",VLOOKUP(37,EY7:FL66,10,FALSE))</f>
        <v>642</v>
      </c>
      <c r="FU42" s="8"/>
      <c r="FW42" t="str">
        <f>IF(GA42="","",GI42)</f>
        <v/>
      </c>
      <c r="FX42" s="979">
        <v>7</v>
      </c>
      <c r="FY42" s="982" t="s">
        <v>185</v>
      </c>
      <c r="FZ42" s="157"/>
      <c r="GA42" s="346"/>
      <c r="GB42" s="346"/>
      <c r="GC42" s="346"/>
      <c r="GD42" s="346"/>
      <c r="GE42" s="346"/>
      <c r="GF42" s="165">
        <f>SUM(GA42:GE42)</f>
        <v>0</v>
      </c>
      <c r="GG42" s="165">
        <f>MAX(GA42:GE42)</f>
        <v>0</v>
      </c>
      <c r="GH42" s="317">
        <f>SUM(GF42*1000)+GG42+0.19</f>
        <v>0.19</v>
      </c>
      <c r="GI42" s="318" t="str">
        <f>IF(GA42="","",RANK(GH42,GH6:GH70,0))</f>
        <v/>
      </c>
      <c r="GJ42" s="165"/>
      <c r="GK42" s="249"/>
      <c r="GL42" s="249"/>
      <c r="GM42" s="1021" t="str">
        <f>IF(GA42="","",RANK(GL47,GL11:GL71,0))</f>
        <v/>
      </c>
      <c r="GP42" s="155">
        <f t="shared" si="15"/>
        <v>37</v>
      </c>
      <c r="GQ42" s="166" t="str">
        <f>IF(GO6&lt;37,"",VLOOKUP(37,FW6:GI70,4,FALSE))</f>
        <v/>
      </c>
      <c r="GR42" s="155" t="str">
        <f>IF(GO6&lt;37,"",VLOOKUP(37,FW6:GI70,10,FALSE))</f>
        <v/>
      </c>
    </row>
    <row r="43" spans="1:200" ht="15" customHeight="1">
      <c r="O43">
        <f>IF(S43="","",AA43)</f>
        <v>6</v>
      </c>
      <c r="P43" s="980"/>
      <c r="Q43" s="983"/>
      <c r="R43" s="170" t="s">
        <v>187</v>
      </c>
      <c r="S43" s="327">
        <v>123</v>
      </c>
      <c r="T43" s="319">
        <v>205</v>
      </c>
      <c r="U43" s="319">
        <v>193</v>
      </c>
      <c r="V43" s="319">
        <v>151</v>
      </c>
      <c r="W43" s="319">
        <v>158</v>
      </c>
      <c r="X43" s="159">
        <f>SUM(S43:W43)</f>
        <v>830</v>
      </c>
      <c r="Y43" s="165">
        <f>MAX(S43:W43)</f>
        <v>205</v>
      </c>
      <c r="Z43" s="317">
        <f>SUM(X43*1000)+Y43+0.18</f>
        <v>830205.18</v>
      </c>
      <c r="AA43" s="320">
        <f>IF(S43="","",RANK(Z43,Z6:Z65,0))</f>
        <v>6</v>
      </c>
      <c r="AB43" s="161"/>
      <c r="AC43" s="1022"/>
      <c r="AF43" s="155">
        <f t="shared" si="8"/>
        <v>38</v>
      </c>
      <c r="AG43" s="166" t="str">
        <f>IF(AE6&lt;38,"",VLOOKUP(38,O6:AA65,4,FALSE))</f>
        <v>BREJCHA JAROSLAV</v>
      </c>
      <c r="AH43" s="155">
        <f>IF(AE6&lt;38,"",VLOOKUP(38,O6:AA65,10,FALSE))</f>
        <v>614</v>
      </c>
      <c r="AI43" s="8"/>
      <c r="AK43">
        <f>IF(AO43="","",AW43)</f>
        <v>36</v>
      </c>
      <c r="AL43" s="980"/>
      <c r="AM43" s="983"/>
      <c r="AN43" s="240" t="s">
        <v>174</v>
      </c>
      <c r="AO43" s="327">
        <v>135</v>
      </c>
      <c r="AP43" s="319">
        <v>145</v>
      </c>
      <c r="AQ43" s="319">
        <v>127</v>
      </c>
      <c r="AR43" s="319">
        <v>111</v>
      </c>
      <c r="AS43" s="319">
        <v>114</v>
      </c>
      <c r="AT43" s="159">
        <f>SUM(AO43:AS43)</f>
        <v>632</v>
      </c>
      <c r="AU43" s="165">
        <f>MAX(AO43:AS43)</f>
        <v>145</v>
      </c>
      <c r="AV43" s="317">
        <f>SUM(AT43*1000)+AU43+0.18</f>
        <v>632145.18000000005</v>
      </c>
      <c r="AW43" s="320">
        <f>IF(AO43="","",RANK(AV43,AV6:AV65,0))</f>
        <v>36</v>
      </c>
      <c r="AX43" s="161"/>
      <c r="AY43" s="1022"/>
      <c r="BB43" s="155">
        <f t="shared" si="9"/>
        <v>38</v>
      </c>
      <c r="BC43" s="166" t="str">
        <f>IF(BA6&lt;38,"",VLOOKUP(38,AK6:AW65,4,FALSE))</f>
        <v>KOLÁŘ LADISLAV</v>
      </c>
      <c r="BD43" s="155">
        <f>IF(BA6&lt;38,"",VLOOKUP(38,AK6:AW65,10,FALSE))</f>
        <v>621</v>
      </c>
      <c r="BE43" s="8"/>
      <c r="BG43">
        <f>IF(BK43="","",BS43)</f>
        <v>28</v>
      </c>
      <c r="BH43" s="980"/>
      <c r="BI43" s="983"/>
      <c r="BJ43" s="260" t="s">
        <v>172</v>
      </c>
      <c r="BK43" s="344">
        <v>121</v>
      </c>
      <c r="BL43" s="345">
        <v>167</v>
      </c>
      <c r="BM43" s="345">
        <v>117</v>
      </c>
      <c r="BN43" s="345">
        <v>149</v>
      </c>
      <c r="BO43" s="345">
        <v>130</v>
      </c>
      <c r="BP43" s="159">
        <f>SUM(BK43:BO43)</f>
        <v>684</v>
      </c>
      <c r="BQ43" s="165">
        <f>MAX(BK43:BO43)</f>
        <v>167</v>
      </c>
      <c r="BR43" s="317">
        <f>SUM(BP43*1000)+BQ43+0.18</f>
        <v>684167.18</v>
      </c>
      <c r="BS43" s="320">
        <f>IF(BK43="","",RANK(BR43,BR6:BR65,0))</f>
        <v>28</v>
      </c>
      <c r="BT43" s="161"/>
      <c r="BU43" s="251"/>
      <c r="BV43" s="251"/>
      <c r="BW43" s="1022"/>
      <c r="BZ43" s="155">
        <f t="shared" si="10"/>
        <v>38</v>
      </c>
      <c r="CA43" s="166" t="str">
        <f>IF(BY6&lt;38,"",VLOOKUP(38,BG6:BS65,4,FALSE))</f>
        <v>MYSLIVEČEK JAROSLAV</v>
      </c>
      <c r="CB43" s="155">
        <f>IF(BY6&lt;38,"",VLOOKUP(38,BG6:BS65,10,FALSE))</f>
        <v>631</v>
      </c>
      <c r="CC43" s="8"/>
      <c r="CE43">
        <f>IF(CI43="","",CQ43)</f>
        <v>26</v>
      </c>
      <c r="CF43" s="980"/>
      <c r="CG43" s="983"/>
      <c r="CH43" s="283" t="s">
        <v>260</v>
      </c>
      <c r="CI43" s="327">
        <v>136</v>
      </c>
      <c r="CJ43" s="327">
        <v>140</v>
      </c>
      <c r="CK43" s="327">
        <v>136</v>
      </c>
      <c r="CL43" s="327">
        <v>118</v>
      </c>
      <c r="CM43" s="327">
        <v>151</v>
      </c>
      <c r="CN43" s="159">
        <f>SUM(CI43:CM43)</f>
        <v>681</v>
      </c>
      <c r="CO43" s="165">
        <f>MAX(CI43:CM43)</f>
        <v>151</v>
      </c>
      <c r="CP43" s="317">
        <f>SUM(CN43*1000)+CO43+0.18</f>
        <v>681151.18</v>
      </c>
      <c r="CQ43" s="320">
        <f>IF(CI43="","",RANK(CP43,CP6:CP65,0))</f>
        <v>26</v>
      </c>
      <c r="CR43" s="161"/>
      <c r="CS43" s="251"/>
      <c r="CT43" s="251"/>
      <c r="CU43" s="1022"/>
      <c r="CX43" s="155">
        <f t="shared" si="11"/>
        <v>38</v>
      </c>
      <c r="CY43" s="166" t="str">
        <f>IF(CW6&lt;38,"",VLOOKUP(38,CE6:CQ65,4,FALSE))</f>
        <v>NOVOTNÁ PETRA</v>
      </c>
      <c r="CZ43" s="155">
        <f>IF(CW6&lt;38,"",VLOOKUP(38,CE6:CQ65,10,FALSE))</f>
        <v>594</v>
      </c>
      <c r="DA43" s="8"/>
      <c r="DC43">
        <f>IF(DG43="","",DO43)</f>
        <v>7</v>
      </c>
      <c r="DD43" s="980"/>
      <c r="DE43" s="989"/>
      <c r="DF43" s="627" t="s">
        <v>67</v>
      </c>
      <c r="DG43" s="347">
        <v>156</v>
      </c>
      <c r="DH43" s="347">
        <v>158</v>
      </c>
      <c r="DI43" s="347">
        <v>159</v>
      </c>
      <c r="DJ43" s="347">
        <v>192</v>
      </c>
      <c r="DK43" s="347">
        <v>157</v>
      </c>
      <c r="DL43" s="159">
        <f>SUM(DG43:DK43)</f>
        <v>822</v>
      </c>
      <c r="DM43" s="165">
        <f>MAX(DG43:DK43)</f>
        <v>192</v>
      </c>
      <c r="DN43" s="317">
        <f>SUM(DL43*1000)+DM43+0.18</f>
        <v>822192.18</v>
      </c>
      <c r="DO43" s="320">
        <f>IF(DG43="","",RANK(DN43,DN6:DN65,0))</f>
        <v>7</v>
      </c>
      <c r="DP43" s="161"/>
      <c r="DQ43" s="251"/>
      <c r="DR43" s="251"/>
      <c r="DS43" s="1022"/>
      <c r="DV43" s="155">
        <f t="shared" si="12"/>
        <v>38</v>
      </c>
      <c r="DW43" s="166" t="str">
        <f>IF(DU6&lt;38,"",VLOOKUP(38,DC6:DO65,4,FALSE))</f>
        <v>Křikavová Miroslava</v>
      </c>
      <c r="DX43" s="155">
        <f>IF(DU6&lt;38,"",VLOOKUP(38,DC6:DO65,10,FALSE))</f>
        <v>640</v>
      </c>
      <c r="DY43" s="8"/>
      <c r="EA43">
        <f>IF(EE43="","",EM43)</f>
        <v>16</v>
      </c>
      <c r="EB43" s="980"/>
      <c r="EC43" s="1003"/>
      <c r="ED43" s="626" t="s">
        <v>44</v>
      </c>
      <c r="EE43" s="640">
        <v>156</v>
      </c>
      <c r="EF43" s="641">
        <v>134</v>
      </c>
      <c r="EG43" s="641">
        <v>162</v>
      </c>
      <c r="EH43" s="641">
        <v>167</v>
      </c>
      <c r="EI43" s="641">
        <v>136</v>
      </c>
      <c r="EJ43" s="630">
        <f>SUM(EE43:EI43)</f>
        <v>755</v>
      </c>
      <c r="EK43" s="165">
        <f>MAX(EE43:EI43)</f>
        <v>167</v>
      </c>
      <c r="EL43" s="317">
        <f>SUM(EJ43*1000)+EK43+0.18</f>
        <v>755167.18</v>
      </c>
      <c r="EM43" s="320">
        <f>IF(EE43="","",RANK(EL43,EL6:EL65,0))</f>
        <v>16</v>
      </c>
      <c r="EN43" s="161"/>
      <c r="EO43" s="251"/>
      <c r="EP43" s="251"/>
      <c r="EQ43" s="1025"/>
      <c r="ET43" s="155">
        <f t="shared" si="13"/>
        <v>38</v>
      </c>
      <c r="EU43" s="166" t="str">
        <f>IF(ES6&lt;38,"",VLOOKUP(38,EA6:EM65,4,FALSE))</f>
        <v>Katolický Zdeněk</v>
      </c>
      <c r="EV43" s="155">
        <f>IF(ES6&lt;38,"",VLOOKUP(38,EA6:EM65,10,FALSE))</f>
        <v>627</v>
      </c>
      <c r="EW43" s="8"/>
      <c r="EX43" s="8"/>
      <c r="EY43">
        <f>IF(FC43="","",FK43)</f>
        <v>14</v>
      </c>
      <c r="EZ43" s="1039"/>
      <c r="FA43" s="1035"/>
      <c r="FB43" s="788" t="s">
        <v>97</v>
      </c>
      <c r="FC43" s="714">
        <v>170</v>
      </c>
      <c r="FD43" s="714">
        <v>163</v>
      </c>
      <c r="FE43" s="714">
        <v>155</v>
      </c>
      <c r="FF43" s="714">
        <v>163</v>
      </c>
      <c r="FG43" s="714">
        <v>141</v>
      </c>
      <c r="FH43" s="715">
        <f>SUM(FC43:FG43)</f>
        <v>792</v>
      </c>
      <c r="FI43" s="711">
        <f>MAX(FC43:FG43)</f>
        <v>170</v>
      </c>
      <c r="FJ43" s="712">
        <f>SUM(FH43*1000)+FI43+0.18</f>
        <v>792170.18</v>
      </c>
      <c r="FK43" s="716">
        <f>IF(FC43="","",RANK(FJ43,FJ6:FJ65,0))</f>
        <v>14</v>
      </c>
      <c r="FL43" s="717"/>
      <c r="FM43" s="251"/>
      <c r="FN43" s="251"/>
      <c r="FO43" s="1033"/>
      <c r="FP43" s="8"/>
      <c r="FQ43" s="804"/>
      <c r="FR43" s="811">
        <f t="shared" si="14"/>
        <v>38</v>
      </c>
      <c r="FS43" s="809" t="str">
        <f>IF(FQ6&lt;38,"",VLOOKUP(38,EY6:FL65,4,FALSE))</f>
        <v>Aunický František</v>
      </c>
      <c r="FT43" s="808">
        <f>IF(FQ6&lt;38,"",VLOOKUP(38,EY7:FL66,10,FALSE))</f>
        <v>640</v>
      </c>
      <c r="FU43" s="8"/>
      <c r="FW43" t="str">
        <f>IF(GA43="","",GI43)</f>
        <v/>
      </c>
      <c r="FX43" s="980"/>
      <c r="FY43" s="983"/>
      <c r="FZ43" s="160"/>
      <c r="GA43" s="347"/>
      <c r="GB43" s="347"/>
      <c r="GC43" s="347"/>
      <c r="GD43" s="347"/>
      <c r="GE43" s="347"/>
      <c r="GF43" s="159">
        <f>SUM(GA43:GE43)</f>
        <v>0</v>
      </c>
      <c r="GG43" s="165">
        <f>MAX(GA43:GE43)</f>
        <v>0</v>
      </c>
      <c r="GH43" s="317">
        <f>SUM(GF43*1000)+GG43+0.18</f>
        <v>0.18</v>
      </c>
      <c r="GI43" s="320" t="str">
        <f>IF(GA43="","",RANK(GH43,GH6:GH70,0))</f>
        <v/>
      </c>
      <c r="GJ43" s="161"/>
      <c r="GK43" s="251"/>
      <c r="GL43" s="251"/>
      <c r="GM43" s="1022"/>
      <c r="GP43" s="155">
        <f t="shared" si="15"/>
        <v>38</v>
      </c>
      <c r="GQ43" s="166" t="str">
        <f>IF(GO6&lt;38,"",VLOOKUP(38,FW6:GI70,4,FALSE))</f>
        <v/>
      </c>
      <c r="GR43" s="155" t="str">
        <f>IF(GO6&lt;38,"",VLOOKUP(38,FW6:GI70,10,FALSE))</f>
        <v/>
      </c>
    </row>
    <row r="44" spans="1:200" ht="15" customHeight="1">
      <c r="O44">
        <f>IF(S44="","",AA44)</f>
        <v>13</v>
      </c>
      <c r="P44" s="980"/>
      <c r="Q44" s="983"/>
      <c r="R44" s="158" t="s">
        <v>188</v>
      </c>
      <c r="S44" s="327">
        <v>128</v>
      </c>
      <c r="T44" s="319">
        <v>149</v>
      </c>
      <c r="U44" s="319">
        <v>155</v>
      </c>
      <c r="V44" s="319">
        <v>168</v>
      </c>
      <c r="W44" s="319">
        <v>155</v>
      </c>
      <c r="X44" s="159">
        <f>SUM(S44:W44)</f>
        <v>755</v>
      </c>
      <c r="Y44" s="165">
        <f>MAX(S44:W44)</f>
        <v>168</v>
      </c>
      <c r="Z44" s="317">
        <f>SUM(X44*1000)+Y44+0.17</f>
        <v>755168.17</v>
      </c>
      <c r="AA44" s="320">
        <f>IF(S44="","",RANK(Z44,Z6:Z65,0))</f>
        <v>13</v>
      </c>
      <c r="AB44" s="161"/>
      <c r="AC44" s="1022"/>
      <c r="AF44" s="155">
        <f t="shared" si="8"/>
        <v>39</v>
      </c>
      <c r="AG44" s="166" t="str">
        <f>IF(AE6&lt;39,"",VLOOKUP(39,O6:AA65,4,FALSE))</f>
        <v xml:space="preserve">POSPÍŠIL LUKÁŠ </v>
      </c>
      <c r="AH44" s="155">
        <f>IF(AE6&lt;39,"",VLOOKUP(39,O6:AA65,10,FALSE))</f>
        <v>611</v>
      </c>
      <c r="AI44" s="8"/>
      <c r="AK44">
        <f>IF(AO44="","",AW44)</f>
        <v>20</v>
      </c>
      <c r="AL44" s="980"/>
      <c r="AM44" s="983"/>
      <c r="AN44" s="238" t="s">
        <v>175</v>
      </c>
      <c r="AO44" s="327">
        <v>158</v>
      </c>
      <c r="AP44" s="319">
        <v>152</v>
      </c>
      <c r="AQ44" s="319">
        <v>128</v>
      </c>
      <c r="AR44" s="319">
        <v>140</v>
      </c>
      <c r="AS44" s="319">
        <v>141</v>
      </c>
      <c r="AT44" s="159">
        <f>SUM(AO44:AS44)</f>
        <v>719</v>
      </c>
      <c r="AU44" s="165">
        <f>MAX(AO44:AS44)</f>
        <v>158</v>
      </c>
      <c r="AV44" s="317">
        <f>SUM(AT44*1000)+AU44+0.17</f>
        <v>719158.17</v>
      </c>
      <c r="AW44" s="320">
        <f>IF(AO44="","",RANK(AV44,AV6:AV65,0))</f>
        <v>20</v>
      </c>
      <c r="AX44" s="161"/>
      <c r="AY44" s="1022"/>
      <c r="BB44" s="155">
        <f t="shared" si="9"/>
        <v>39</v>
      </c>
      <c r="BC44" s="166" t="str">
        <f>IF(BA6&lt;39,"",VLOOKUP(39,AK6:AW65,4,FALSE))</f>
        <v>BREJCHA JAROSLAV</v>
      </c>
      <c r="BD44" s="155">
        <f>IF(BA6&lt;39,"",VLOOKUP(39,AK6:AW65,10,FALSE))</f>
        <v>618</v>
      </c>
      <c r="BE44" s="8"/>
      <c r="BG44">
        <f>IF(BK44="","",BS44)</f>
        <v>3</v>
      </c>
      <c r="BH44" s="980"/>
      <c r="BI44" s="983"/>
      <c r="BJ44" s="257" t="s">
        <v>163</v>
      </c>
      <c r="BK44" s="344">
        <v>166</v>
      </c>
      <c r="BL44" s="345">
        <v>197</v>
      </c>
      <c r="BM44" s="345">
        <v>159</v>
      </c>
      <c r="BN44" s="345">
        <v>168</v>
      </c>
      <c r="BO44" s="345">
        <v>205</v>
      </c>
      <c r="BP44" s="159">
        <f>SUM(BK44:BO44)</f>
        <v>895</v>
      </c>
      <c r="BQ44" s="165">
        <f>MAX(BK44:BO44)</f>
        <v>205</v>
      </c>
      <c r="BR44" s="317">
        <f>SUM(BP44*1000)+BQ44+0.17</f>
        <v>895205.17</v>
      </c>
      <c r="BS44" s="320">
        <f>IF(BK44="","",RANK(BR44,BR6:BR65,0))</f>
        <v>3</v>
      </c>
      <c r="BT44" s="161"/>
      <c r="BU44" s="251"/>
      <c r="BV44" s="251"/>
      <c r="BW44" s="1022"/>
      <c r="BZ44" s="155">
        <f t="shared" si="10"/>
        <v>39</v>
      </c>
      <c r="CA44" s="166" t="str">
        <f>IF(BY6&lt;39,"",VLOOKUP(39,BG6:BS65,4,FALSE))</f>
        <v>FAY VLASTIMIL</v>
      </c>
      <c r="CB44" s="155">
        <f>IF(BY6&lt;39,"",VLOOKUP(39,BG6:BS65,10,FALSE))</f>
        <v>611</v>
      </c>
      <c r="CC44" s="8"/>
      <c r="CE44">
        <f>IF(CI44="","",CQ44)</f>
        <v>31</v>
      </c>
      <c r="CF44" s="980"/>
      <c r="CG44" s="983"/>
      <c r="CH44" s="283" t="s">
        <v>139</v>
      </c>
      <c r="CI44" s="327">
        <v>100</v>
      </c>
      <c r="CJ44" s="327">
        <v>125</v>
      </c>
      <c r="CK44" s="327">
        <v>122</v>
      </c>
      <c r="CL44" s="327">
        <v>182</v>
      </c>
      <c r="CM44" s="327">
        <v>122</v>
      </c>
      <c r="CN44" s="159">
        <f>SUM(CI44:CM44)</f>
        <v>651</v>
      </c>
      <c r="CO44" s="165">
        <f>MAX(CI44:CM44)</f>
        <v>182</v>
      </c>
      <c r="CP44" s="317">
        <f>SUM(CN44*1000)+CO44+0.17</f>
        <v>651182.17000000004</v>
      </c>
      <c r="CQ44" s="320">
        <f>IF(CI44="","",RANK(CP44,CP6:CP65,0))</f>
        <v>31</v>
      </c>
      <c r="CR44" s="161"/>
      <c r="CS44" s="251"/>
      <c r="CT44" s="251"/>
      <c r="CU44" s="1022"/>
      <c r="CX44" s="155">
        <f t="shared" si="11"/>
        <v>39</v>
      </c>
      <c r="CY44" s="166" t="str">
        <f>IF(CW6&lt;39,"",VLOOKUP(39,CE6:CQ65,4,FALSE))</f>
        <v>POSPÍŠIL LUKÁŠ</v>
      </c>
      <c r="CZ44" s="155">
        <f>IF(CW6&lt;39,"",VLOOKUP(39,CE6:CQ65,10,FALSE))</f>
        <v>583</v>
      </c>
      <c r="DA44" s="8"/>
      <c r="DC44">
        <f>IF(DG44="","",DO44)</f>
        <v>36</v>
      </c>
      <c r="DD44" s="980"/>
      <c r="DE44" s="989"/>
      <c r="DF44" s="540" t="s">
        <v>124</v>
      </c>
      <c r="DG44" s="347">
        <v>125</v>
      </c>
      <c r="DH44" s="347">
        <v>98</v>
      </c>
      <c r="DI44" s="347">
        <v>183</v>
      </c>
      <c r="DJ44" s="347">
        <v>131</v>
      </c>
      <c r="DK44" s="347">
        <v>130</v>
      </c>
      <c r="DL44" s="159">
        <f>SUM(DG44:DK44)</f>
        <v>667</v>
      </c>
      <c r="DM44" s="165">
        <f>MAX(DG44:DK44)</f>
        <v>183</v>
      </c>
      <c r="DN44" s="317">
        <f>SUM(DL44*1000)+DM44+0.17</f>
        <v>667183.17000000004</v>
      </c>
      <c r="DO44" s="320">
        <f>IF(DG44="","",RANK(DN44,DN6:DN65,0))</f>
        <v>36</v>
      </c>
      <c r="DP44" s="161"/>
      <c r="DQ44" s="251"/>
      <c r="DR44" s="251"/>
      <c r="DS44" s="1022"/>
      <c r="DV44" s="155">
        <f t="shared" si="12"/>
        <v>39</v>
      </c>
      <c r="DW44" s="166" t="str">
        <f>IF(DU6&lt;39,"",VLOOKUP(39,DC6:DO65,4,FALSE))</f>
        <v>Mottl Pavel</v>
      </c>
      <c r="DX44" s="155">
        <f>IF(DU6&lt;39,"",VLOOKUP(39,DC6:DO65,10,FALSE))</f>
        <v>630</v>
      </c>
      <c r="DY44" s="8"/>
      <c r="EA44">
        <f>IF(EE44="","",EM44)</f>
        <v>9</v>
      </c>
      <c r="EB44" s="980"/>
      <c r="EC44" s="1003"/>
      <c r="ED44" s="626" t="s">
        <v>60</v>
      </c>
      <c r="EE44" s="640">
        <v>160</v>
      </c>
      <c r="EF44" s="641">
        <v>228</v>
      </c>
      <c r="EG44" s="641">
        <v>135</v>
      </c>
      <c r="EH44" s="641">
        <v>165</v>
      </c>
      <c r="EI44" s="641">
        <v>135</v>
      </c>
      <c r="EJ44" s="630">
        <f>SUM(EE44:EI44)</f>
        <v>823</v>
      </c>
      <c r="EK44" s="165">
        <f>MAX(EE44:EI44)</f>
        <v>228</v>
      </c>
      <c r="EL44" s="317">
        <f>SUM(EJ44*1000)+EK44+0.17</f>
        <v>823228.17</v>
      </c>
      <c r="EM44" s="320">
        <f>IF(EE44="","",RANK(EL44,EL6:EL65,0))</f>
        <v>9</v>
      </c>
      <c r="EN44" s="161"/>
      <c r="EO44" s="251"/>
      <c r="EP44" s="251"/>
      <c r="EQ44" s="1025"/>
      <c r="ET44" s="155">
        <f t="shared" si="13"/>
        <v>39</v>
      </c>
      <c r="EU44" s="166" t="str">
        <f>IF(ES6&lt;39,"",VLOOKUP(39,EA6:EM65,4,FALSE))</f>
        <v>Křikava Miroslav</v>
      </c>
      <c r="EV44" s="155">
        <f>IF(ES6&lt;39,"",VLOOKUP(39,EA6:EM65,10,FALSE))</f>
        <v>626</v>
      </c>
      <c r="EW44" s="8"/>
      <c r="EX44" s="8"/>
      <c r="EY44">
        <f>IF(FC44="","",FK44)</f>
        <v>8</v>
      </c>
      <c r="EZ44" s="1039"/>
      <c r="FA44" s="1035"/>
      <c r="FB44" s="788" t="s">
        <v>16</v>
      </c>
      <c r="FC44" s="714">
        <v>162</v>
      </c>
      <c r="FD44" s="714">
        <v>149</v>
      </c>
      <c r="FE44" s="714">
        <v>156</v>
      </c>
      <c r="FF44" s="714">
        <v>169</v>
      </c>
      <c r="FG44" s="714">
        <v>180</v>
      </c>
      <c r="FH44" s="715">
        <f>SUM(FC44:FG44)</f>
        <v>816</v>
      </c>
      <c r="FI44" s="711">
        <f>MAX(FC44:FG44)</f>
        <v>180</v>
      </c>
      <c r="FJ44" s="712">
        <f>SUM(FH44*1000)+FI44+0.17</f>
        <v>816180.17</v>
      </c>
      <c r="FK44" s="716">
        <f>IF(FC44="","",RANK(FJ44,FJ6:FJ65,0))</f>
        <v>8</v>
      </c>
      <c r="FL44" s="717"/>
      <c r="FM44" s="251"/>
      <c r="FN44" s="251"/>
      <c r="FO44" s="1033"/>
      <c r="FP44" s="8"/>
      <c r="FQ44" s="804"/>
      <c r="FR44" s="811">
        <f t="shared" si="14"/>
        <v>39</v>
      </c>
      <c r="FS44" s="809" t="str">
        <f>IF(FQ6&lt;39,"",VLOOKUP(39,EY6:FL65,4,FALSE))</f>
        <v>Pipek Pavel</v>
      </c>
      <c r="FT44" s="808">
        <f>IF(FQ6&lt;39,"",VLOOKUP(39,EY6:FL65,10,FALSE))</f>
        <v>632</v>
      </c>
      <c r="FU44" s="8"/>
      <c r="FW44" t="str">
        <f>IF(GA44="","",GI44)</f>
        <v/>
      </c>
      <c r="FX44" s="980"/>
      <c r="FY44" s="983"/>
      <c r="FZ44" s="160"/>
      <c r="GA44" s="347"/>
      <c r="GB44" s="347"/>
      <c r="GC44" s="347"/>
      <c r="GD44" s="347"/>
      <c r="GE44" s="347"/>
      <c r="GF44" s="159">
        <f>SUM(GA44:GE44)</f>
        <v>0</v>
      </c>
      <c r="GG44" s="165">
        <f>MAX(GA44:GE44)</f>
        <v>0</v>
      </c>
      <c r="GH44" s="317">
        <f>SUM(GF44*1000)+GG44+0.17</f>
        <v>0.17</v>
      </c>
      <c r="GI44" s="320" t="str">
        <f>IF(GA44="","",RANK(GH44,GH6:GH70,0))</f>
        <v/>
      </c>
      <c r="GJ44" s="161"/>
      <c r="GK44" s="251"/>
      <c r="GL44" s="251"/>
      <c r="GM44" s="1022"/>
      <c r="GP44" s="155">
        <f t="shared" si="15"/>
        <v>39</v>
      </c>
      <c r="GQ44" s="166" t="str">
        <f>IF(GO6&lt;39,"",VLOOKUP(39,FW6:GI70,4,FALSE))</f>
        <v/>
      </c>
      <c r="GR44" s="155" t="str">
        <f>IF(GO6&lt;39,"",VLOOKUP(39,FW6:GI70,10,FALSE))</f>
        <v/>
      </c>
    </row>
    <row r="45" spans="1:200" ht="15" customHeight="1">
      <c r="O45">
        <f>IF(S45="","",AA45)</f>
        <v>37</v>
      </c>
      <c r="P45" s="980"/>
      <c r="Q45" s="983"/>
      <c r="R45" s="167" t="s">
        <v>189</v>
      </c>
      <c r="S45" s="327">
        <v>117</v>
      </c>
      <c r="T45" s="319">
        <v>141</v>
      </c>
      <c r="U45" s="319">
        <v>103</v>
      </c>
      <c r="V45" s="319">
        <v>115</v>
      </c>
      <c r="W45" s="319">
        <v>140</v>
      </c>
      <c r="X45" s="159">
        <f>SUM(S45:W45)</f>
        <v>616</v>
      </c>
      <c r="Y45" s="165">
        <f>MAX(S45:W45)</f>
        <v>141</v>
      </c>
      <c r="Z45" s="317">
        <f>SUM(X45*1000)+Y45+0.16</f>
        <v>616141.16</v>
      </c>
      <c r="AA45" s="320">
        <f>IF(S45="","",RANK(Z45,Z6:Z65,0))</f>
        <v>37</v>
      </c>
      <c r="AB45" s="161"/>
      <c r="AC45" s="1022"/>
      <c r="AF45" s="155">
        <f t="shared" si="8"/>
        <v>40</v>
      </c>
      <c r="AG45" s="166" t="str">
        <f>IF(AE6&lt;40,"",VLOOKUP(40,O6:AA65,4,FALSE))</f>
        <v>NOVOTNÁ PETRA</v>
      </c>
      <c r="AH45" s="155">
        <f>IF(AE6&lt;40,"",VLOOKUP(40,O6:AA65,10,FALSE))</f>
        <v>590</v>
      </c>
      <c r="AI45" s="8"/>
      <c r="AK45">
        <f>IF(AO45="","",AW45)</f>
        <v>1</v>
      </c>
      <c r="AL45" s="980"/>
      <c r="AM45" s="983"/>
      <c r="AN45" s="238" t="s">
        <v>178</v>
      </c>
      <c r="AO45" s="327">
        <v>223</v>
      </c>
      <c r="AP45" s="319">
        <v>197</v>
      </c>
      <c r="AQ45" s="319">
        <v>227</v>
      </c>
      <c r="AR45" s="319">
        <v>147</v>
      </c>
      <c r="AS45" s="319">
        <v>151</v>
      </c>
      <c r="AT45" s="159">
        <f>SUM(AO45:AS45)</f>
        <v>945</v>
      </c>
      <c r="AU45" s="165">
        <f>MAX(AO45:AS45)</f>
        <v>227</v>
      </c>
      <c r="AV45" s="317">
        <f>SUM(AT45*1000)+AU45+0.16</f>
        <v>945227.16</v>
      </c>
      <c r="AW45" s="320">
        <f>IF(AO45="","",RANK(AV45,AV6:AV65,0))</f>
        <v>1</v>
      </c>
      <c r="AX45" s="161"/>
      <c r="AY45" s="1022"/>
      <c r="BB45" s="155">
        <f t="shared" si="9"/>
        <v>40</v>
      </c>
      <c r="BC45" s="166" t="str">
        <f>IF(BA6&lt;40,"",VLOOKUP(40,AK6:AW65,4,FALSE))</f>
        <v>KUTINA PAVEL</v>
      </c>
      <c r="BD45" s="155">
        <f>IF(BA6&lt;40,"",VLOOKUP(40,AK6:AW65,10,FALSE))</f>
        <v>611</v>
      </c>
      <c r="BE45" s="8"/>
      <c r="BG45">
        <f>IF(BK45="","",BS45)</f>
        <v>4</v>
      </c>
      <c r="BH45" s="980"/>
      <c r="BI45" s="983"/>
      <c r="BJ45" s="258" t="s">
        <v>165</v>
      </c>
      <c r="BK45" s="344">
        <v>150</v>
      </c>
      <c r="BL45" s="345">
        <v>205</v>
      </c>
      <c r="BM45" s="345">
        <v>186</v>
      </c>
      <c r="BN45" s="345">
        <v>145</v>
      </c>
      <c r="BO45" s="345">
        <v>173</v>
      </c>
      <c r="BP45" s="159">
        <f>SUM(BK45:BO45)</f>
        <v>859</v>
      </c>
      <c r="BQ45" s="165">
        <f>MAX(BK45:BO45)</f>
        <v>205</v>
      </c>
      <c r="BR45" s="317">
        <f>SUM(BP45*1000)+BQ45+0.16</f>
        <v>859205.16</v>
      </c>
      <c r="BS45" s="320">
        <f>IF(BK45="","",RANK(BR45,BR6:BR65,0))</f>
        <v>4</v>
      </c>
      <c r="BT45" s="161"/>
      <c r="BU45" s="251"/>
      <c r="BV45" s="251"/>
      <c r="BW45" s="1022"/>
      <c r="BZ45" s="155">
        <f t="shared" si="10"/>
        <v>40</v>
      </c>
      <c r="CA45" s="166" t="str">
        <f>IF(BY6&lt;40,"",VLOOKUP(40,BG6:BS65,4,FALSE))</f>
        <v>AUNICKÝ FRANTIŠEK</v>
      </c>
      <c r="CB45" s="155">
        <f>IF(BY6&lt;40,"",VLOOKUP(40,BG6:BS65,10,FALSE))</f>
        <v>605</v>
      </c>
      <c r="CC45" s="8"/>
      <c r="CE45">
        <f>IF(CI45="","",CQ45)</f>
        <v>35</v>
      </c>
      <c r="CF45" s="980"/>
      <c r="CG45" s="983"/>
      <c r="CH45" s="284" t="s">
        <v>261</v>
      </c>
      <c r="CI45" s="327">
        <v>143</v>
      </c>
      <c r="CJ45" s="327">
        <v>173</v>
      </c>
      <c r="CK45" s="327">
        <v>117</v>
      </c>
      <c r="CL45" s="327">
        <v>75</v>
      </c>
      <c r="CM45" s="327">
        <v>111</v>
      </c>
      <c r="CN45" s="159">
        <f>SUM(CI45:CM45)</f>
        <v>619</v>
      </c>
      <c r="CO45" s="165">
        <f>MAX(CI45:CM45)</f>
        <v>173</v>
      </c>
      <c r="CP45" s="317">
        <f>SUM(CN45*1000)+CO45+0.16</f>
        <v>619173.16</v>
      </c>
      <c r="CQ45" s="320">
        <f>IF(CI45="","",RANK(CP45,CP6:CP65,0))</f>
        <v>35</v>
      </c>
      <c r="CR45" s="161"/>
      <c r="CS45" s="251"/>
      <c r="CT45" s="251"/>
      <c r="CU45" s="1022"/>
      <c r="CX45" s="155">
        <f t="shared" si="11"/>
        <v>40</v>
      </c>
      <c r="CY45" s="166" t="str">
        <f>IF(CW6&lt;40,"",VLOOKUP(40,CE6:CQ65,4,FALSE))</f>
        <v>PIPEK PAVEL</v>
      </c>
      <c r="CZ45" s="155">
        <f>IF(CW6&lt;40,"",VLOOKUP(40,CE6:CQ65,10,FALSE))</f>
        <v>577</v>
      </c>
      <c r="DA45" s="8"/>
      <c r="DC45">
        <f>IF(DG45="","",DO45)</f>
        <v>17</v>
      </c>
      <c r="DD45" s="980"/>
      <c r="DE45" s="989"/>
      <c r="DF45" s="540" t="s">
        <v>68</v>
      </c>
      <c r="DG45" s="347">
        <v>153</v>
      </c>
      <c r="DH45" s="347">
        <v>148</v>
      </c>
      <c r="DI45" s="347">
        <v>144</v>
      </c>
      <c r="DJ45" s="347">
        <v>128</v>
      </c>
      <c r="DK45" s="347">
        <v>178</v>
      </c>
      <c r="DL45" s="159">
        <f>SUM(DG45:DK45)</f>
        <v>751</v>
      </c>
      <c r="DM45" s="165">
        <f>MAX(DG45:DK45)</f>
        <v>178</v>
      </c>
      <c r="DN45" s="317">
        <f>SUM(DL45*1000)+DM45+0.16</f>
        <v>751178.16</v>
      </c>
      <c r="DO45" s="320">
        <f>IF(DG45="","",RANK(DN45,DN6:DN65,0))</f>
        <v>17</v>
      </c>
      <c r="DP45" s="161"/>
      <c r="DQ45" s="251"/>
      <c r="DR45" s="251"/>
      <c r="DS45" s="1022"/>
      <c r="DV45" s="155">
        <f t="shared" si="12"/>
        <v>40</v>
      </c>
      <c r="DW45" s="166" t="str">
        <f>IF(DU6&lt;40,"",VLOOKUP(40,DC6:DO65,4,FALSE))</f>
        <v>Aunický František</v>
      </c>
      <c r="DX45" s="155">
        <f>IF(DU6&lt;40,"",VLOOKUP(40,DC6:DO65,10,FALSE))</f>
        <v>619</v>
      </c>
      <c r="DY45" s="8"/>
      <c r="EA45">
        <f>IF(EE45="","",EM45)</f>
        <v>24</v>
      </c>
      <c r="EB45" s="980"/>
      <c r="EC45" s="1003"/>
      <c r="ED45" s="626" t="s">
        <v>26</v>
      </c>
      <c r="EE45" s="640">
        <v>149</v>
      </c>
      <c r="EF45" s="641">
        <v>138</v>
      </c>
      <c r="EG45" s="641">
        <v>159</v>
      </c>
      <c r="EH45" s="641">
        <v>127</v>
      </c>
      <c r="EI45" s="641">
        <v>121</v>
      </c>
      <c r="EJ45" s="630">
        <f>SUM(EE45:EI45)</f>
        <v>694</v>
      </c>
      <c r="EK45" s="165">
        <f>MAX(EE45:EI45)</f>
        <v>159</v>
      </c>
      <c r="EL45" s="317">
        <f>SUM(EJ45*1000)+EK45+0.16</f>
        <v>694159.16</v>
      </c>
      <c r="EM45" s="320">
        <f>IF(EE45="","",RANK(EL45,EL6:EL65,0))</f>
        <v>24</v>
      </c>
      <c r="EN45" s="161"/>
      <c r="EO45" s="251"/>
      <c r="EP45" s="251"/>
      <c r="EQ45" s="1025"/>
      <c r="ET45" s="155">
        <f t="shared" si="13"/>
        <v>40</v>
      </c>
      <c r="EU45" s="166" t="str">
        <f>IF(ES6&lt;40,"",VLOOKUP(40,EA6:EM65,4,FALSE))</f>
        <v>Pavlíček Rudolf</v>
      </c>
      <c r="EV45" s="155">
        <f>IF(ES6&lt;40,"",VLOOKUP(40,EA6:EM65,10,FALSE))</f>
        <v>623</v>
      </c>
      <c r="EW45" s="8"/>
      <c r="EX45" s="8"/>
      <c r="EY45">
        <f>IF(FC45="","",FK45)</f>
        <v>7</v>
      </c>
      <c r="EZ45" s="1039"/>
      <c r="FA45" s="1035"/>
      <c r="FB45" s="788" t="s">
        <v>2</v>
      </c>
      <c r="FC45" s="714">
        <v>155</v>
      </c>
      <c r="FD45" s="714">
        <v>193</v>
      </c>
      <c r="FE45" s="714">
        <v>179</v>
      </c>
      <c r="FF45" s="714">
        <v>157</v>
      </c>
      <c r="FG45" s="714">
        <v>149</v>
      </c>
      <c r="FH45" s="715">
        <f>SUM(FC45:FG45)</f>
        <v>833</v>
      </c>
      <c r="FI45" s="711">
        <f>MAX(FC45:FG45)</f>
        <v>193</v>
      </c>
      <c r="FJ45" s="712">
        <f>SUM(FH45*1000)+FI45+0.16</f>
        <v>833193.16</v>
      </c>
      <c r="FK45" s="716">
        <f>IF(FC45="","",RANK(FJ45,FJ6:FJ65,0))</f>
        <v>7</v>
      </c>
      <c r="FL45" s="717"/>
      <c r="FM45" s="251"/>
      <c r="FN45" s="251"/>
      <c r="FO45" s="1033"/>
      <c r="FP45" s="8"/>
      <c r="FQ45" s="804"/>
      <c r="FR45" s="811">
        <f t="shared" si="14"/>
        <v>40</v>
      </c>
      <c r="FS45" s="809" t="str">
        <f>IF(FQ6&lt;40,"",VLOOKUP(40,EY6:FL65,4,FALSE))</f>
        <v>Douša Adam</v>
      </c>
      <c r="FT45" s="808">
        <f>IF(FQ6&lt;40,"",VLOOKUP(40,EY6:FL65,10,FALSE))</f>
        <v>631</v>
      </c>
      <c r="FU45" s="8"/>
      <c r="FW45" t="str">
        <f>IF(GA45="","",GI45)</f>
        <v/>
      </c>
      <c r="FX45" s="980"/>
      <c r="FY45" s="983"/>
      <c r="FZ45" s="160"/>
      <c r="GA45" s="347"/>
      <c r="GB45" s="347"/>
      <c r="GC45" s="347"/>
      <c r="GD45" s="347"/>
      <c r="GE45" s="347"/>
      <c r="GF45" s="159">
        <f>SUM(GA45:GE45)</f>
        <v>0</v>
      </c>
      <c r="GG45" s="165">
        <f>MAX(GA45:GE45)</f>
        <v>0</v>
      </c>
      <c r="GH45" s="317">
        <f>SUM(GF45*1000)+GG45+0.16</f>
        <v>0.16</v>
      </c>
      <c r="GI45" s="320" t="str">
        <f>IF(GA45="","",RANK(GH45,GH6:GH70,0))</f>
        <v/>
      </c>
      <c r="GJ45" s="161"/>
      <c r="GK45" s="251"/>
      <c r="GL45" s="251"/>
      <c r="GM45" s="1022"/>
      <c r="GP45" s="155">
        <f t="shared" si="15"/>
        <v>40</v>
      </c>
      <c r="GQ45" s="166" t="str">
        <f>IF(GO6&lt;40,"",VLOOKUP(40,FW6:GI70,4,FALSE))</f>
        <v/>
      </c>
      <c r="GR45" s="155" t="str">
        <f>IF(GO6&lt;40,"",VLOOKUP(40,FW6:GI70,10,FALSE))</f>
        <v/>
      </c>
    </row>
    <row r="46" spans="1:200" ht="15" customHeight="1">
      <c r="O46">
        <f>IF(S46="","",AA46)</f>
        <v>26</v>
      </c>
      <c r="P46" s="980"/>
      <c r="Q46" s="983"/>
      <c r="R46" s="158" t="s">
        <v>190</v>
      </c>
      <c r="S46" s="327">
        <v>121</v>
      </c>
      <c r="T46" s="319">
        <v>151</v>
      </c>
      <c r="U46" s="319">
        <v>119</v>
      </c>
      <c r="V46" s="319">
        <v>152</v>
      </c>
      <c r="W46" s="319">
        <v>130</v>
      </c>
      <c r="X46" s="159">
        <f>SUM(S46:W46)</f>
        <v>673</v>
      </c>
      <c r="Y46" s="165">
        <f>MAX(S46:W46)</f>
        <v>152</v>
      </c>
      <c r="Z46" s="317">
        <f>SUM(X46*1000)+Y46+0.15</f>
        <v>673152.15</v>
      </c>
      <c r="AA46" s="320">
        <f>IF(S46="","",RANK(Z46,Z6:Z65,0))</f>
        <v>26</v>
      </c>
      <c r="AB46" s="161"/>
      <c r="AC46" s="1022"/>
      <c r="AF46" s="155">
        <f t="shared" si="8"/>
        <v>41</v>
      </c>
      <c r="AG46" s="166" t="str">
        <f>IF(AE6&lt;41,"",VLOOKUP(41,O6:AA65,4,FALSE))</f>
        <v>VESELÝ VLASTIMIL</v>
      </c>
      <c r="AH46" s="155">
        <f>IF(AE6&lt;41,"",VLOOKUP(41,O6:AA65,10,FALSE))</f>
        <v>589</v>
      </c>
      <c r="AI46" s="8"/>
      <c r="AK46">
        <f>IF(AO46="","",AW46)</f>
        <v>3</v>
      </c>
      <c r="AL46" s="980"/>
      <c r="AM46" s="983"/>
      <c r="AN46" s="237" t="s">
        <v>177</v>
      </c>
      <c r="AO46" s="327">
        <v>168</v>
      </c>
      <c r="AP46" s="319">
        <v>181</v>
      </c>
      <c r="AQ46" s="319">
        <v>156</v>
      </c>
      <c r="AR46" s="319">
        <v>223</v>
      </c>
      <c r="AS46" s="319">
        <v>177</v>
      </c>
      <c r="AT46" s="159">
        <f>SUM(AO46:AS46)</f>
        <v>905</v>
      </c>
      <c r="AU46" s="165">
        <f>MAX(AO46:AS46)</f>
        <v>223</v>
      </c>
      <c r="AV46" s="317">
        <f>SUM(AT46*1000)+AU46+0.15</f>
        <v>905223.15</v>
      </c>
      <c r="AW46" s="320">
        <f>IF(AO46="","",RANK(AV46,AV6:AV65,0))</f>
        <v>3</v>
      </c>
      <c r="AX46" s="161"/>
      <c r="AY46" s="1022"/>
      <c r="BB46" s="155">
        <f t="shared" si="9"/>
        <v>41</v>
      </c>
      <c r="BC46" s="166" t="str">
        <f>IF(BA6&lt;41,"",VLOOKUP(41,AK6:AW65,4,FALSE))</f>
        <v>PLECHÁČEK MIROSLAV</v>
      </c>
      <c r="BD46" s="155">
        <f>IF(BA6&lt;41,"",VLOOKUP(41,AK6:AW65,10,FALSE))</f>
        <v>608</v>
      </c>
      <c r="BE46" s="8"/>
      <c r="BG46">
        <f>IF(BK46="","",BS46)</f>
        <v>25</v>
      </c>
      <c r="BH46" s="980"/>
      <c r="BI46" s="983"/>
      <c r="BJ46" s="257" t="s">
        <v>166</v>
      </c>
      <c r="BK46" s="344">
        <v>170</v>
      </c>
      <c r="BL46" s="345">
        <v>127</v>
      </c>
      <c r="BM46" s="345">
        <v>138</v>
      </c>
      <c r="BN46" s="345">
        <v>133</v>
      </c>
      <c r="BO46" s="345">
        <v>137</v>
      </c>
      <c r="BP46" s="159">
        <f>SUM(BK46:BO46)</f>
        <v>705</v>
      </c>
      <c r="BQ46" s="165">
        <f>MAX(BK46:BO46)</f>
        <v>170</v>
      </c>
      <c r="BR46" s="317">
        <f>SUM(BP46*1000)+BQ46+0.15</f>
        <v>705170.15</v>
      </c>
      <c r="BS46" s="320">
        <f>IF(BK46="","",RANK(BR46,BR6:BR65,0))</f>
        <v>25</v>
      </c>
      <c r="BT46" s="161"/>
      <c r="BU46" s="251"/>
      <c r="BV46" s="251"/>
      <c r="BW46" s="1022"/>
      <c r="BZ46" s="155">
        <f t="shared" si="10"/>
        <v>41</v>
      </c>
      <c r="CA46" s="166" t="str">
        <f>IF(BY6&lt;41,"",VLOOKUP(41,BG6:BS65,4,FALSE))</f>
        <v>KUTINA PAVEL</v>
      </c>
      <c r="CB46" s="155">
        <f>IF(BY6&lt;41,"",VLOOKUP(41,BG6:BS65,10,FALSE))</f>
        <v>599</v>
      </c>
      <c r="CC46" s="8"/>
      <c r="CE46">
        <f>IF(CI46="","",CQ46)</f>
        <v>36</v>
      </c>
      <c r="CF46" s="980"/>
      <c r="CG46" s="983"/>
      <c r="CH46" s="283" t="s">
        <v>146</v>
      </c>
      <c r="CI46" s="327">
        <v>119</v>
      </c>
      <c r="CJ46" s="327">
        <v>110</v>
      </c>
      <c r="CK46" s="327">
        <v>122</v>
      </c>
      <c r="CL46" s="327">
        <v>144</v>
      </c>
      <c r="CM46" s="327">
        <v>123</v>
      </c>
      <c r="CN46" s="159">
        <f>SUM(CI46:CM46)</f>
        <v>618</v>
      </c>
      <c r="CO46" s="165">
        <f>MAX(CI46:CM46)</f>
        <v>144</v>
      </c>
      <c r="CP46" s="317">
        <f>SUM(CN46*1000)+CO46+0.15</f>
        <v>618144.15</v>
      </c>
      <c r="CQ46" s="320">
        <f>IF(CI46="","",RANK(CP46,CP6:CP65,0))</f>
        <v>36</v>
      </c>
      <c r="CR46" s="161"/>
      <c r="CS46" s="251"/>
      <c r="CT46" s="251"/>
      <c r="CU46" s="1022"/>
      <c r="CX46" s="155">
        <f t="shared" si="11"/>
        <v>41</v>
      </c>
      <c r="CY46" s="166" t="str">
        <f>IF(CW6&lt;41,"",VLOOKUP(41,CE6:CQ65,4,FALSE))</f>
        <v>KOVÁŘ JAROSLAV</v>
      </c>
      <c r="CZ46" s="155">
        <f>IF(CW6&lt;41,"",VLOOKUP(41,CE6:CQ65,10,FALSE))</f>
        <v>569</v>
      </c>
      <c r="DA46" s="8"/>
      <c r="DC46">
        <f>IF(DG46="","",DO46)</f>
        <v>10</v>
      </c>
      <c r="DD46" s="980"/>
      <c r="DE46" s="989"/>
      <c r="DF46" s="540" t="s">
        <v>95</v>
      </c>
      <c r="DG46" s="347">
        <v>174</v>
      </c>
      <c r="DH46" s="347">
        <v>127</v>
      </c>
      <c r="DI46" s="347">
        <v>186</v>
      </c>
      <c r="DJ46" s="347">
        <v>145</v>
      </c>
      <c r="DK46" s="347">
        <v>169</v>
      </c>
      <c r="DL46" s="159">
        <f>SUM(DG46:DK46)</f>
        <v>801</v>
      </c>
      <c r="DM46" s="165">
        <f>MAX(DG46:DK46)</f>
        <v>186</v>
      </c>
      <c r="DN46" s="317">
        <f>SUM(DL46*1000)+DM46+0.15</f>
        <v>801186.15</v>
      </c>
      <c r="DO46" s="320">
        <f>IF(DG46="","",RANK(DN46,DN6:DN65,0))</f>
        <v>10</v>
      </c>
      <c r="DP46" s="161"/>
      <c r="DQ46" s="251"/>
      <c r="DR46" s="251"/>
      <c r="DS46" s="1022"/>
      <c r="DV46" s="155">
        <f t="shared" si="12"/>
        <v>41</v>
      </c>
      <c r="DW46" s="166" t="str">
        <f>IF(DU6&lt;41,"",VLOOKUP(41,DC6:DO65,4,FALSE))</f>
        <v>Křikava Miroslav</v>
      </c>
      <c r="DX46" s="155">
        <f>IF(DU6&lt;41,"",VLOOKUP(41,DC6:DO65,10,FALSE))</f>
        <v>619</v>
      </c>
      <c r="DY46" s="8"/>
      <c r="EA46">
        <f>IF(EE46="","",EM46)</f>
        <v>46</v>
      </c>
      <c r="EB46" s="980"/>
      <c r="EC46" s="1003"/>
      <c r="ED46" s="626" t="s">
        <v>93</v>
      </c>
      <c r="EE46" s="640">
        <v>124</v>
      </c>
      <c r="EF46" s="641">
        <v>133</v>
      </c>
      <c r="EG46" s="641">
        <v>90</v>
      </c>
      <c r="EH46" s="641">
        <v>128</v>
      </c>
      <c r="EI46" s="641">
        <v>121</v>
      </c>
      <c r="EJ46" s="630">
        <f>SUM(EE46:EI46)</f>
        <v>596</v>
      </c>
      <c r="EK46" s="165">
        <f>MAX(EE46:EI46)</f>
        <v>133</v>
      </c>
      <c r="EL46" s="317">
        <f>SUM(EJ46*1000)+EK46+0.15</f>
        <v>596133.15</v>
      </c>
      <c r="EM46" s="320">
        <f>IF(EE46="","",RANK(EL46,EL6:EL65,0))</f>
        <v>46</v>
      </c>
      <c r="EN46" s="161"/>
      <c r="EO46" s="251"/>
      <c r="EP46" s="251"/>
      <c r="EQ46" s="1025"/>
      <c r="ET46" s="155">
        <f t="shared" si="13"/>
        <v>41</v>
      </c>
      <c r="EU46" s="166" t="str">
        <f>IF(ES6&lt;41,"",VLOOKUP(41,EA6:EM65,4,FALSE))</f>
        <v>Táborský František</v>
      </c>
      <c r="EV46" s="155">
        <f>IF(ES6&lt;41,"",VLOOKUP(41,EA6:EM65,10,FALSE))</f>
        <v>615</v>
      </c>
      <c r="EW46" s="8"/>
      <c r="EX46" s="8"/>
      <c r="EY46">
        <f>IF(FC46="","",FK46)</f>
        <v>3</v>
      </c>
      <c r="EZ46" s="1039"/>
      <c r="FA46" s="1035"/>
      <c r="FB46" s="789" t="s">
        <v>222</v>
      </c>
      <c r="FC46" s="718">
        <v>185</v>
      </c>
      <c r="FD46" s="718">
        <v>148</v>
      </c>
      <c r="FE46" s="718">
        <v>223</v>
      </c>
      <c r="FF46" s="718">
        <v>128</v>
      </c>
      <c r="FG46" s="718">
        <v>179</v>
      </c>
      <c r="FH46" s="719">
        <f>SUM(FC46:FG46)</f>
        <v>863</v>
      </c>
      <c r="FI46" s="720">
        <f>MAX(FC46:FG46)</f>
        <v>223</v>
      </c>
      <c r="FJ46" s="721">
        <f>SUM(FH46*1000)+FI46+0.15</f>
        <v>863223.15</v>
      </c>
      <c r="FK46" s="722">
        <f>IF(FC46="","",RANK(FJ46,FJ6:FJ65,0))</f>
        <v>3</v>
      </c>
      <c r="FL46" s="723"/>
      <c r="FM46" s="251"/>
      <c r="FN46" s="251"/>
      <c r="FO46" s="1033"/>
      <c r="FP46" s="8"/>
      <c r="FQ46" s="804"/>
      <c r="FR46" s="811">
        <f t="shared" si="14"/>
        <v>41</v>
      </c>
      <c r="FS46" s="809" t="str">
        <f>IF(FQ6&lt;41,"",VLOOKUP(41,EY6:FL65,4,FALSE))</f>
        <v>Mottl Pavel</v>
      </c>
      <c r="FT46" s="808">
        <f>IF(FQ6&lt;41,"",VLOOKUP(41,EY6:FL65,10,FALSE))</f>
        <v>628</v>
      </c>
      <c r="FU46" s="8"/>
      <c r="FW46" t="str">
        <f>IF(GA46="","",GI46)</f>
        <v/>
      </c>
      <c r="FX46" s="980"/>
      <c r="FY46" s="983"/>
      <c r="FZ46" s="160"/>
      <c r="GA46" s="347"/>
      <c r="GB46" s="347"/>
      <c r="GC46" s="347"/>
      <c r="GD46" s="347"/>
      <c r="GE46" s="347"/>
      <c r="GF46" s="159">
        <f>SUM(GA46:GE46)</f>
        <v>0</v>
      </c>
      <c r="GG46" s="165">
        <f>MAX(GA46:GE46)</f>
        <v>0</v>
      </c>
      <c r="GH46" s="317">
        <f>SUM(GF46*1000)+GG46+0.15</f>
        <v>0.15</v>
      </c>
      <c r="GI46" s="320" t="str">
        <f>IF(GA46="","",RANK(GH46,GH6:GH70,0))</f>
        <v/>
      </c>
      <c r="GJ46" s="161"/>
      <c r="GK46" s="251"/>
      <c r="GL46" s="251"/>
      <c r="GM46" s="1022"/>
      <c r="GP46" s="155">
        <f t="shared" si="15"/>
        <v>41</v>
      </c>
      <c r="GQ46" s="166" t="str">
        <f>IF(GO6&lt;41,"",VLOOKUP(41,FW6:GI70,4,FALSE))</f>
        <v/>
      </c>
      <c r="GR46" s="155" t="str">
        <f>IF(GO6&lt;41,"",VLOOKUP(41,FW6:GI70,10,FALSE))</f>
        <v/>
      </c>
    </row>
    <row r="47" spans="1:200" ht="15" customHeight="1">
      <c r="P47" s="981"/>
      <c r="Q47" s="984"/>
      <c r="R47" s="162"/>
      <c r="S47" s="331">
        <f>SUM(S42:S46)</f>
        <v>632</v>
      </c>
      <c r="T47" s="321">
        <f>SUM(T42:T46)</f>
        <v>765</v>
      </c>
      <c r="U47" s="321">
        <f>SUM(U42:U46)</f>
        <v>706</v>
      </c>
      <c r="V47" s="321">
        <f>SUM(V42:V46)</f>
        <v>787</v>
      </c>
      <c r="W47" s="321">
        <f>SUM(W42:W46)</f>
        <v>783</v>
      </c>
      <c r="X47" s="322"/>
      <c r="Y47" s="322"/>
      <c r="Z47" s="334"/>
      <c r="AA47" s="322"/>
      <c r="AB47" s="323">
        <f>SUM(S47:W47)</f>
        <v>3673</v>
      </c>
      <c r="AC47" s="1023"/>
      <c r="AF47" s="155">
        <f t="shared" si="8"/>
        <v>42</v>
      </c>
      <c r="AG47" s="166" t="str">
        <f>IF(AE6&lt;42,"",VLOOKUP(42,O6:AA65,4,FALSE))</f>
        <v>ČERMÁK TOMÁŠ</v>
      </c>
      <c r="AH47" s="155">
        <f>IF(AE6&lt;42,"",VLOOKUP(42,O6:AA65,10,FALSE))</f>
        <v>577</v>
      </c>
      <c r="AI47" s="8"/>
      <c r="AL47" s="981"/>
      <c r="AM47" s="984"/>
      <c r="AN47" s="172"/>
      <c r="AO47" s="341">
        <f>SUM(AO42:AO46)</f>
        <v>856</v>
      </c>
      <c r="AP47" s="339">
        <f>SUM(AP42:AP46)</f>
        <v>814</v>
      </c>
      <c r="AQ47" s="339">
        <f>SUM(AQ42:AQ46)</f>
        <v>784</v>
      </c>
      <c r="AR47" s="339">
        <f>SUM(AR42:AR46)</f>
        <v>788</v>
      </c>
      <c r="AS47" s="339">
        <f>SUM(AS42:AS46)</f>
        <v>727</v>
      </c>
      <c r="AT47" s="322"/>
      <c r="AU47" s="322"/>
      <c r="AV47" s="334"/>
      <c r="AW47" s="322"/>
      <c r="AX47" s="323">
        <f>SUM(AO47:AS47)</f>
        <v>3969</v>
      </c>
      <c r="AY47" s="1023"/>
      <c r="BB47" s="155">
        <f t="shared" si="9"/>
        <v>42</v>
      </c>
      <c r="BC47" s="166" t="str">
        <f>IF(BA6&lt;42,"",VLOOKUP(42,AK6:AW65,4,FALSE))</f>
        <v>AUNICKÝ FRANTIŠEK</v>
      </c>
      <c r="BD47" s="155">
        <f>IF(BA6&lt;42,"",VLOOKUP(42,AK6:AW65,10,FALSE))</f>
        <v>604</v>
      </c>
      <c r="BE47" s="8"/>
      <c r="BH47" s="981"/>
      <c r="BI47" s="984"/>
      <c r="BJ47" s="172"/>
      <c r="BK47" s="341">
        <f>SUM(BK42:BK46)</f>
        <v>768</v>
      </c>
      <c r="BL47" s="339">
        <f>SUM(BL42:BL46)</f>
        <v>841</v>
      </c>
      <c r="BM47" s="339">
        <f>SUM(BM42:BM46)</f>
        <v>717</v>
      </c>
      <c r="BN47" s="339">
        <f>SUM(BN42:BN46)</f>
        <v>774</v>
      </c>
      <c r="BO47" s="339">
        <f>SUM(BO42:BO46)</f>
        <v>776</v>
      </c>
      <c r="BP47" s="322"/>
      <c r="BQ47" s="322"/>
      <c r="BR47" s="334"/>
      <c r="BS47" s="322"/>
      <c r="BT47" s="323">
        <f>SUM(BK47:BO47)</f>
        <v>3876</v>
      </c>
      <c r="BU47" s="163">
        <f>MAX(BK47:BO47)</f>
        <v>841</v>
      </c>
      <c r="BV47" s="163">
        <f>IF(BK42="","",SUM(BT47*10000)+BU47)</f>
        <v>38760841</v>
      </c>
      <c r="BW47" s="1023"/>
      <c r="BZ47" s="155">
        <f t="shared" si="10"/>
        <v>42</v>
      </c>
      <c r="CA47" s="166" t="str">
        <f>IF(BY6&lt;42,"",VLOOKUP(42,BG6:BS65,4,FALSE))</f>
        <v>ŠAFÁŘ LADISLAV</v>
      </c>
      <c r="CB47" s="155">
        <f>IF(BY6&lt;42,"",VLOOKUP(42,BG6:BS65,10,FALSE))</f>
        <v>593</v>
      </c>
      <c r="CC47" s="8"/>
      <c r="CF47" s="981"/>
      <c r="CG47" s="984"/>
      <c r="CH47" s="172"/>
      <c r="CI47" s="341">
        <f>SUM(CI42:CI46)</f>
        <v>609</v>
      </c>
      <c r="CJ47" s="339">
        <f>SUM(CJ42:CJ46)</f>
        <v>685</v>
      </c>
      <c r="CK47" s="339">
        <f>SUM(CK42:CK46)</f>
        <v>678</v>
      </c>
      <c r="CL47" s="339">
        <f>SUM(CL42:CL46)</f>
        <v>705</v>
      </c>
      <c r="CM47" s="339">
        <f>SUM(CM42:CM46)</f>
        <v>653</v>
      </c>
      <c r="CN47" s="322"/>
      <c r="CO47" s="322"/>
      <c r="CP47" s="334"/>
      <c r="CQ47" s="322"/>
      <c r="CR47" s="323">
        <f>SUM(CI47:CM47)</f>
        <v>3330</v>
      </c>
      <c r="CS47" s="163">
        <f>MAX(CI47:CM47)</f>
        <v>705</v>
      </c>
      <c r="CT47" s="163">
        <f>IF(CI42="","",SUM(CR47*1000)+CS47)</f>
        <v>3330705</v>
      </c>
      <c r="CU47" s="1023"/>
      <c r="CX47" s="155">
        <f t="shared" si="11"/>
        <v>42</v>
      </c>
      <c r="CY47" s="166" t="str">
        <f>IF(CW6&lt;42,"",VLOOKUP(42,CE6:CQ65,4,FALSE))</f>
        <v>ŘEHÁK JAROSLAV</v>
      </c>
      <c r="CZ47" s="155">
        <f>IF(CW6&lt;42,"",VLOOKUP(42,CE6:CQ65,10,FALSE))</f>
        <v>560</v>
      </c>
      <c r="DA47" s="8"/>
      <c r="DD47" s="981"/>
      <c r="DE47" s="990"/>
      <c r="DF47" s="172"/>
      <c r="DG47" s="341">
        <f>SUM(DG42:DG46)</f>
        <v>760</v>
      </c>
      <c r="DH47" s="339">
        <f>SUM(DH42:DH46)</f>
        <v>663</v>
      </c>
      <c r="DI47" s="339">
        <f>SUM(DI42:DI46)</f>
        <v>864</v>
      </c>
      <c r="DJ47" s="339">
        <f>SUM(DJ42:DJ46)</f>
        <v>749</v>
      </c>
      <c r="DK47" s="339">
        <f>SUM(DK42:DK46)</f>
        <v>762</v>
      </c>
      <c r="DL47" s="322"/>
      <c r="DM47" s="322"/>
      <c r="DN47" s="334"/>
      <c r="DO47" s="322"/>
      <c r="DP47" s="323">
        <f>SUM(DG47:DK47)</f>
        <v>3798</v>
      </c>
      <c r="DQ47" s="163">
        <f>MAX(DG47:DK47)</f>
        <v>864</v>
      </c>
      <c r="DR47" s="163">
        <f>IF(DG42="","",SUM(DP47*1000)+DQ47)</f>
        <v>3798864</v>
      </c>
      <c r="DS47" s="1023"/>
      <c r="DV47" s="155">
        <f t="shared" si="12"/>
        <v>42</v>
      </c>
      <c r="DW47" s="166" t="str">
        <f>IF(DU6&lt;42,"",VLOOKUP(42,DC6:DO65,4,FALSE))</f>
        <v>Novotná Petra</v>
      </c>
      <c r="DX47" s="155">
        <f>IF(DU6&lt;42,"",VLOOKUP(42,DC6:DO65,10,FALSE))</f>
        <v>606</v>
      </c>
      <c r="DY47" s="8"/>
      <c r="EB47" s="981"/>
      <c r="EC47" s="1004"/>
      <c r="ED47" s="172"/>
      <c r="EE47" s="321">
        <f>SUM(EE42:EE46)</f>
        <v>749</v>
      </c>
      <c r="EF47" s="321">
        <f>SUM(EF42:EF46)</f>
        <v>802</v>
      </c>
      <c r="EG47" s="321">
        <f>SUM(EG42:EG46)</f>
        <v>722</v>
      </c>
      <c r="EH47" s="321">
        <f>SUM(EH42:EH46)</f>
        <v>769</v>
      </c>
      <c r="EI47" s="321">
        <f>SUM(EI42:EI46)</f>
        <v>673</v>
      </c>
      <c r="EJ47" s="322"/>
      <c r="EK47" s="322"/>
      <c r="EL47" s="334"/>
      <c r="EM47" s="322"/>
      <c r="EN47" s="323">
        <f>SUM(EE47:EI47)</f>
        <v>3715</v>
      </c>
      <c r="EO47" s="163">
        <f>MAX(EE47:EI47)</f>
        <v>802</v>
      </c>
      <c r="EP47" s="163">
        <f>IF(EE42="","",SUM(EN47*1000)+EO47)</f>
        <v>3715802</v>
      </c>
      <c r="EQ47" s="1026"/>
      <c r="ET47" s="155">
        <f t="shared" si="13"/>
        <v>42</v>
      </c>
      <c r="EU47" s="166" t="str">
        <f>IF(ES6&lt;42,"",VLOOKUP(42,EA6:EM65,4,FALSE))</f>
        <v>Sehnal Ivan</v>
      </c>
      <c r="EV47" s="155">
        <f>IF(ES6&lt;42,"",VLOOKUP(42,EA6:EM65,10,FALSE))</f>
        <v>612</v>
      </c>
      <c r="EW47" s="8"/>
      <c r="EX47" s="8"/>
      <c r="EZ47" s="1040"/>
      <c r="FA47" s="1036"/>
      <c r="FB47" s="754"/>
      <c r="FC47" s="748">
        <f>SUM(FC42:FC46)</f>
        <v>776</v>
      </c>
      <c r="FD47" s="749">
        <f>SUM(FD42:FD46)</f>
        <v>778</v>
      </c>
      <c r="FE47" s="748">
        <f>SUM(FE42:FE46)</f>
        <v>873</v>
      </c>
      <c r="FF47" s="748">
        <f>SUM(FF42:FF46)</f>
        <v>747</v>
      </c>
      <c r="FG47" s="748">
        <f>SUM(FG42:FG46)</f>
        <v>798</v>
      </c>
      <c r="FH47" s="751"/>
      <c r="FI47" s="751"/>
      <c r="FJ47" s="752"/>
      <c r="FK47" s="751"/>
      <c r="FL47" s="755">
        <f>SUM(FC47:FG47)</f>
        <v>3972</v>
      </c>
      <c r="FM47" s="746">
        <f>MAX(FC47:FG47)</f>
        <v>873</v>
      </c>
      <c r="FN47" s="746">
        <f>IF(FC42="","",SUM(FL47*1000)+FM47)</f>
        <v>3972873</v>
      </c>
      <c r="FO47" s="1033"/>
      <c r="FP47" s="8"/>
      <c r="FQ47" s="804"/>
      <c r="FR47" s="811">
        <f t="shared" si="14"/>
        <v>42</v>
      </c>
      <c r="FS47" s="809" t="str">
        <f>IF(FQ6&lt;42,"",VLOOKUP(42,EY6:FL65,4,FALSE))</f>
        <v>Brož Stanislav</v>
      </c>
      <c r="FT47" s="808">
        <f>IF(FQ6&lt;42,"",VLOOKUP(42,EY6:FL65,10,FALSE))</f>
        <v>625</v>
      </c>
      <c r="FU47" s="8"/>
      <c r="FX47" s="981"/>
      <c r="FY47" s="984"/>
      <c r="FZ47" s="172"/>
      <c r="GA47" s="341">
        <f>SUM(GA42:GA46)</f>
        <v>0</v>
      </c>
      <c r="GB47" s="339">
        <f>SUM(GB42:GB46)</f>
        <v>0</v>
      </c>
      <c r="GC47" s="339">
        <f>SUM(GC42:GC46)</f>
        <v>0</v>
      </c>
      <c r="GD47" s="339">
        <f>SUM(GD42:GD46)</f>
        <v>0</v>
      </c>
      <c r="GE47" s="339">
        <f>SUM(GE42:GE46)</f>
        <v>0</v>
      </c>
      <c r="GF47" s="322"/>
      <c r="GG47" s="322"/>
      <c r="GH47" s="334"/>
      <c r="GI47" s="322"/>
      <c r="GJ47" s="323">
        <f>SUM(GA47:GE47)</f>
        <v>0</v>
      </c>
      <c r="GK47" s="163">
        <f>MAX(GA47:GE47)</f>
        <v>0</v>
      </c>
      <c r="GL47" s="163" t="str">
        <f>IF(GA42="","",SUM(GJ47*1000)+GK47)</f>
        <v/>
      </c>
      <c r="GM47" s="1023"/>
      <c r="GP47" s="155">
        <f t="shared" si="15"/>
        <v>42</v>
      </c>
      <c r="GQ47" s="166" t="str">
        <f>IF(GO6&lt;42,"",VLOOKUP(42,FW6:GI70,4,FALSE))</f>
        <v/>
      </c>
      <c r="GR47" s="155" t="str">
        <f>IF(GO6&lt;42,"",VLOOKUP(42,FW6:GI70,10,FALSE))</f>
        <v/>
      </c>
    </row>
    <row r="48" spans="1:200" ht="15" customHeight="1">
      <c r="O48">
        <f>IF(S48="","",AA48)</f>
        <v>46</v>
      </c>
      <c r="P48" s="979">
        <v>8</v>
      </c>
      <c r="Q48" s="982" t="s">
        <v>191</v>
      </c>
      <c r="R48" s="164" t="s">
        <v>192</v>
      </c>
      <c r="S48" s="324">
        <v>126</v>
      </c>
      <c r="T48" s="325">
        <v>114</v>
      </c>
      <c r="U48" s="325">
        <v>104</v>
      </c>
      <c r="V48" s="325">
        <v>119</v>
      </c>
      <c r="W48" s="325">
        <v>97</v>
      </c>
      <c r="X48" s="165">
        <f>SUM(S48:W48)</f>
        <v>560</v>
      </c>
      <c r="Y48" s="165">
        <f>MAX(S48:W48)</f>
        <v>126</v>
      </c>
      <c r="Z48" s="317">
        <f>SUM(X48*1000)+Y48+0.14</f>
        <v>560126.14</v>
      </c>
      <c r="AA48" s="318">
        <f>IF(S48="","",RANK(Z48,Z6:Z65,0))</f>
        <v>46</v>
      </c>
      <c r="AB48" s="175"/>
      <c r="AC48" s="985">
        <f>RANK(AB53,AB11:AB65,0)</f>
        <v>8</v>
      </c>
      <c r="AF48" s="155">
        <f t="shared" si="8"/>
        <v>43</v>
      </c>
      <c r="AG48" s="166" t="str">
        <f>IF(AE6&lt;43,"",VLOOKUP(43,O6:AA65,4,FALSE))</f>
        <v>KŘIKAVA MIROSLAV</v>
      </c>
      <c r="AH48" s="155">
        <f>IF(AE6&lt;43,"",VLOOKUP(43,O6:AA65,10,FALSE))</f>
        <v>572</v>
      </c>
      <c r="AI48" s="8"/>
      <c r="AK48">
        <f>IF(AO48="","",AW48)</f>
        <v>22</v>
      </c>
      <c r="AL48" s="979">
        <v>8</v>
      </c>
      <c r="AM48" s="982" t="s">
        <v>179</v>
      </c>
      <c r="AN48" s="243" t="s">
        <v>231</v>
      </c>
      <c r="AO48" s="338">
        <v>159</v>
      </c>
      <c r="AP48" s="316">
        <v>185</v>
      </c>
      <c r="AQ48" s="316">
        <v>109</v>
      </c>
      <c r="AR48" s="316">
        <v>115</v>
      </c>
      <c r="AS48" s="316">
        <v>140</v>
      </c>
      <c r="AT48" s="165">
        <f>SUM(AO48:AS48)</f>
        <v>708</v>
      </c>
      <c r="AU48" s="165">
        <f>MAX(AO48:AS48)</f>
        <v>185</v>
      </c>
      <c r="AV48" s="317">
        <f>SUM(AT48*1000)+AU48+0.14</f>
        <v>708185.14</v>
      </c>
      <c r="AW48" s="318">
        <f>IF(AO48="","",RANK(AV48,AV6:AV65,0))</f>
        <v>22</v>
      </c>
      <c r="AX48" s="175"/>
      <c r="AY48" s="985">
        <f>RANK(AX53,AX11:AX65,0)</f>
        <v>10</v>
      </c>
      <c r="BB48" s="155">
        <f t="shared" si="9"/>
        <v>43</v>
      </c>
      <c r="BC48" s="166" t="str">
        <f>IF(BA6&lt;43,"",VLOOKUP(43,AK6:AW65,4,FALSE))</f>
        <v>FAY VLASTIMIL</v>
      </c>
      <c r="BD48" s="155">
        <f>IF(BA6&lt;43,"",VLOOKUP(43,AK6:AW65,10,FALSE))</f>
        <v>603</v>
      </c>
      <c r="BE48" s="8"/>
      <c r="BG48">
        <f>IF(BK48="","",BS48)</f>
        <v>34</v>
      </c>
      <c r="BH48" s="979">
        <v>8</v>
      </c>
      <c r="BI48" s="982" t="s">
        <v>167</v>
      </c>
      <c r="BJ48" s="259" t="s">
        <v>168</v>
      </c>
      <c r="BK48" s="342">
        <v>148</v>
      </c>
      <c r="BL48" s="343">
        <v>153</v>
      </c>
      <c r="BM48" s="343">
        <v>119</v>
      </c>
      <c r="BN48" s="343">
        <v>123</v>
      </c>
      <c r="BO48" s="343">
        <v>129</v>
      </c>
      <c r="BP48" s="165">
        <f>SUM(BK48:BO48)</f>
        <v>672</v>
      </c>
      <c r="BQ48" s="165">
        <f>MAX(BK48:BO48)</f>
        <v>153</v>
      </c>
      <c r="BR48" s="317">
        <f>SUM(BP48*1000)+BQ48+0.14</f>
        <v>672153.14</v>
      </c>
      <c r="BS48" s="318">
        <f>IF(BK48="","",RANK(BR48,BR6:BR65,0))</f>
        <v>34</v>
      </c>
      <c r="BT48" s="175"/>
      <c r="BU48" s="252"/>
      <c r="BV48" s="252"/>
      <c r="BW48" s="985">
        <f>IF(BK48="","",RANK(BV53,BV11:BV65,0))</f>
        <v>6</v>
      </c>
      <c r="BZ48" s="155">
        <f t="shared" si="10"/>
        <v>43</v>
      </c>
      <c r="CA48" s="166" t="str">
        <f>IF(BY6&lt;43,"",VLOOKUP(43,BG6:BS65,4,FALSE))</f>
        <v>NOVOTNÁ JANA</v>
      </c>
      <c r="CB48" s="155">
        <f>IF(BY6&lt;43,"",VLOOKUP(43,BG6:BS65,10,FALSE))</f>
        <v>581</v>
      </c>
      <c r="CC48" s="8"/>
      <c r="CE48">
        <f>IF(CI48="","",CQ48)</f>
        <v>6</v>
      </c>
      <c r="CF48" s="979">
        <v>8</v>
      </c>
      <c r="CG48" s="982" t="s">
        <v>150</v>
      </c>
      <c r="CH48" s="285" t="s">
        <v>143</v>
      </c>
      <c r="CI48" s="324">
        <v>166</v>
      </c>
      <c r="CJ48" s="324">
        <v>170</v>
      </c>
      <c r="CK48" s="324">
        <v>161</v>
      </c>
      <c r="CL48" s="324">
        <v>186</v>
      </c>
      <c r="CM48" s="324">
        <v>159</v>
      </c>
      <c r="CN48" s="165">
        <f>SUM(CI48:CM48)</f>
        <v>842</v>
      </c>
      <c r="CO48" s="165">
        <f>MAX(CI48:CM48)</f>
        <v>186</v>
      </c>
      <c r="CP48" s="317">
        <f>SUM(CN48*1000)+CO48+0.14</f>
        <v>842186.14</v>
      </c>
      <c r="CQ48" s="318">
        <f>IF(CI48="","",RANK(CP48,CP6:CP65,0))</f>
        <v>6</v>
      </c>
      <c r="CR48" s="175"/>
      <c r="CS48" s="252"/>
      <c r="CT48" s="252"/>
      <c r="CU48" s="985">
        <f>IF(CI48="","",RANK(CT53,CT11:CT65,0))</f>
        <v>1</v>
      </c>
      <c r="CX48" s="155">
        <f t="shared" si="11"/>
        <v>43</v>
      </c>
      <c r="CY48" s="166" t="str">
        <f>IF(CW6&lt;43,"",VLOOKUP(43,CE6:CQ65,4,FALSE))</f>
        <v>KOLLÁR PAVEL</v>
      </c>
      <c r="CZ48" s="155">
        <f>IF(CW6&lt;43,"",VLOOKUP(43,CE6:CQ65,10,FALSE))</f>
        <v>558</v>
      </c>
      <c r="DA48" s="8"/>
      <c r="DC48">
        <f>IF(DG48="","",DO48)</f>
        <v>37</v>
      </c>
      <c r="DD48" s="979">
        <v>8</v>
      </c>
      <c r="DE48" s="988" t="s">
        <v>203</v>
      </c>
      <c r="DF48" s="539" t="s">
        <v>217</v>
      </c>
      <c r="DG48" s="346">
        <v>121</v>
      </c>
      <c r="DH48" s="346">
        <v>125</v>
      </c>
      <c r="DI48" s="346">
        <v>158</v>
      </c>
      <c r="DJ48" s="346">
        <v>116</v>
      </c>
      <c r="DK48" s="346">
        <v>129</v>
      </c>
      <c r="DL48" s="165">
        <f>SUM(DG48:DK48)</f>
        <v>649</v>
      </c>
      <c r="DM48" s="165">
        <f>MAX(DG48:DK48)</f>
        <v>158</v>
      </c>
      <c r="DN48" s="317">
        <f>SUM(DL48*1000)+DM48+0.14</f>
        <v>649158.14</v>
      </c>
      <c r="DO48" s="318">
        <f>IF(DG48="","",RANK(DN48,DN6:DN65,0))</f>
        <v>37</v>
      </c>
      <c r="DP48" s="175"/>
      <c r="DQ48" s="252"/>
      <c r="DR48" s="252"/>
      <c r="DS48" s="985">
        <f>IF(DG48="","",RANK(DR53,DR11:DR65,0))</f>
        <v>10</v>
      </c>
      <c r="DV48" s="155">
        <f t="shared" si="12"/>
        <v>43</v>
      </c>
      <c r="DW48" s="166" t="str">
        <f>IF(DU6&lt;43,"",VLOOKUP(43,DC6:DO65,4,FALSE))</f>
        <v>Novotná Jana</v>
      </c>
      <c r="DX48" s="155">
        <f>IF(DU6&lt;43,"",VLOOKUP(43,DC6:DO65,10,FALSE))</f>
        <v>585</v>
      </c>
      <c r="DY48" s="8"/>
      <c r="EA48">
        <f>IF(EE48="","",EM48)</f>
        <v>47</v>
      </c>
      <c r="EB48" s="979">
        <v>8</v>
      </c>
      <c r="EC48" s="1005" t="s">
        <v>191</v>
      </c>
      <c r="ED48" s="628" t="s">
        <v>14</v>
      </c>
      <c r="EE48" s="638">
        <v>112</v>
      </c>
      <c r="EF48" s="639">
        <v>76</v>
      </c>
      <c r="EG48" s="639">
        <v>127</v>
      </c>
      <c r="EH48" s="639">
        <v>177</v>
      </c>
      <c r="EI48" s="639">
        <v>101</v>
      </c>
      <c r="EJ48" s="629">
        <f>SUM(EE48:EI48)</f>
        <v>593</v>
      </c>
      <c r="EK48" s="165">
        <f>MAX(EE48:EI48)</f>
        <v>177</v>
      </c>
      <c r="EL48" s="317">
        <f>SUM(EJ48*1000)+EK48+0.14</f>
        <v>593177.14</v>
      </c>
      <c r="EM48" s="318">
        <f>IF(EE48="","",RANK(EL48,EL6:EL65,0))</f>
        <v>47</v>
      </c>
      <c r="EN48" s="175"/>
      <c r="EO48" s="252"/>
      <c r="EP48" s="252"/>
      <c r="EQ48" s="1006">
        <f>IF(EE48="","",RANK(EP53,EP11:EP65,0))</f>
        <v>10</v>
      </c>
      <c r="ET48" s="155">
        <f t="shared" si="13"/>
        <v>43</v>
      </c>
      <c r="EU48" s="166" t="str">
        <f>IF(ES6&lt;43,"",VLOOKUP(43,EA6:EM65,4,FALSE))</f>
        <v>Růžička Václav</v>
      </c>
      <c r="EV48" s="155">
        <f>IF(ES6&lt;43,"",VLOOKUP(43,EA6:EM65,10,FALSE))</f>
        <v>598</v>
      </c>
      <c r="EW48" s="8"/>
      <c r="EX48" s="8"/>
      <c r="EY48">
        <f>IF(FC48="","",FK48)</f>
        <v>33</v>
      </c>
      <c r="EZ48" s="1038">
        <v>8</v>
      </c>
      <c r="FA48" s="1034" t="s">
        <v>179</v>
      </c>
      <c r="FB48" s="790" t="s">
        <v>224</v>
      </c>
      <c r="FC48" s="794">
        <v>135</v>
      </c>
      <c r="FD48" s="794">
        <v>124</v>
      </c>
      <c r="FE48" s="794">
        <v>135</v>
      </c>
      <c r="FF48" s="794">
        <v>121</v>
      </c>
      <c r="FG48" s="794">
        <v>137</v>
      </c>
      <c r="FH48" s="711">
        <f>SUM(FC48:FG48)</f>
        <v>652</v>
      </c>
      <c r="FI48" s="711">
        <f>MAX(FC48:FG48)</f>
        <v>137</v>
      </c>
      <c r="FJ48" s="712">
        <f>SUM(FH48*1000)+FI48+0.14</f>
        <v>652137.14</v>
      </c>
      <c r="FK48" s="713">
        <f>IF(FC48="","",RANK(FJ48,FJ6:FJ65,0))</f>
        <v>33</v>
      </c>
      <c r="FL48" s="724"/>
      <c r="FM48" s="252"/>
      <c r="FN48" s="252"/>
      <c r="FO48" s="1037">
        <f>IF(FC48="","",RANK(FN53,FN11:FN65,0))</f>
        <v>6</v>
      </c>
      <c r="FP48" s="8"/>
      <c r="FQ48" s="804"/>
      <c r="FR48" s="811">
        <f t="shared" si="14"/>
        <v>43</v>
      </c>
      <c r="FS48" s="809" t="str">
        <f>IF(FQ6&lt;43,"",VLOOKUP(43,EY6:FL65,4,FALSE))</f>
        <v>Pavlíček Rudolf</v>
      </c>
      <c r="FT48" s="808">
        <f>IF(FQ6&lt;43,"",VLOOKUP(43,EY7:FL66,10,FALSE))</f>
        <v>619</v>
      </c>
      <c r="FU48" s="8"/>
      <c r="FW48" t="str">
        <f>IF(GA48="","",GI48)</f>
        <v/>
      </c>
      <c r="FX48" s="979">
        <v>8</v>
      </c>
      <c r="FY48" s="982" t="s">
        <v>191</v>
      </c>
      <c r="FZ48" s="157"/>
      <c r="GA48" s="346"/>
      <c r="GB48" s="346"/>
      <c r="GC48" s="346"/>
      <c r="GD48" s="346"/>
      <c r="GE48" s="346"/>
      <c r="GF48" s="165">
        <f>SUM(GA48:GE48)</f>
        <v>0</v>
      </c>
      <c r="GG48" s="165">
        <f>MAX(GA48:GE48)</f>
        <v>0</v>
      </c>
      <c r="GH48" s="317">
        <f>SUM(GF48*1000)+GG48+0.14</f>
        <v>0.14000000000000001</v>
      </c>
      <c r="GI48" s="318" t="str">
        <f>IF(GA48="","",RANK(GH48,GH6:GH70,0))</f>
        <v/>
      </c>
      <c r="GJ48" s="175"/>
      <c r="GK48" s="252"/>
      <c r="GL48" s="252"/>
      <c r="GM48" s="985" t="str">
        <f>IF(GA48="","",RANK(GL53,GL11:GL71,0))</f>
        <v/>
      </c>
      <c r="GP48" s="155">
        <f t="shared" si="15"/>
        <v>43</v>
      </c>
      <c r="GQ48" s="166" t="str">
        <f>IF(GO6&lt;43,"",VLOOKUP(43,FW6:GI70,4,FALSE))</f>
        <v/>
      </c>
      <c r="GR48" s="155" t="str">
        <f>IF(GO6&lt;43,"",VLOOKUP(43,FW6:GI70,10,FALSE))</f>
        <v/>
      </c>
    </row>
    <row r="49" spans="15:200" ht="15" customHeight="1">
      <c r="O49">
        <f>IF(S49="","",AA49)</f>
        <v>30</v>
      </c>
      <c r="P49" s="980"/>
      <c r="Q49" s="983"/>
      <c r="R49" s="158" t="s">
        <v>193</v>
      </c>
      <c r="S49" s="327">
        <v>124</v>
      </c>
      <c r="T49" s="319">
        <v>116</v>
      </c>
      <c r="U49" s="319">
        <v>157</v>
      </c>
      <c r="V49" s="319">
        <v>134</v>
      </c>
      <c r="W49" s="319">
        <v>124</v>
      </c>
      <c r="X49" s="159">
        <f>SUM(S49:W49)</f>
        <v>655</v>
      </c>
      <c r="Y49" s="165">
        <f>MAX(S49:W49)</f>
        <v>157</v>
      </c>
      <c r="Z49" s="317">
        <f>SUM(X49*1000)+Y49+0.13</f>
        <v>655157.13</v>
      </c>
      <c r="AA49" s="320">
        <f>IF(S49="","",RANK(Z49,Z6:Z65,0))</f>
        <v>30</v>
      </c>
      <c r="AB49" s="161"/>
      <c r="AC49" s="986"/>
      <c r="AF49" s="155">
        <f t="shared" si="8"/>
        <v>44</v>
      </c>
      <c r="AG49" s="166" t="str">
        <f>IF(AE6&lt;44,"",VLOOKUP(44,O6:AA65,4,FALSE))</f>
        <v>KOLLÁR PAVEL</v>
      </c>
      <c r="AH49" s="155">
        <f>IF(AE6&lt;44,"",VLOOKUP(44,O6:AA65,10,FALSE))</f>
        <v>571</v>
      </c>
      <c r="AI49" s="8"/>
      <c r="AK49">
        <f>IF(AO49="","",AW49)</f>
        <v>26</v>
      </c>
      <c r="AL49" s="980"/>
      <c r="AM49" s="983"/>
      <c r="AN49" s="238" t="s">
        <v>232</v>
      </c>
      <c r="AO49" s="327">
        <v>140</v>
      </c>
      <c r="AP49" s="319">
        <v>144</v>
      </c>
      <c r="AQ49" s="319">
        <v>144</v>
      </c>
      <c r="AR49" s="319">
        <v>129</v>
      </c>
      <c r="AS49" s="319">
        <v>132</v>
      </c>
      <c r="AT49" s="159">
        <f>SUM(AO49:AS49)</f>
        <v>689</v>
      </c>
      <c r="AU49" s="165">
        <f>MAX(AO49:AS49)</f>
        <v>144</v>
      </c>
      <c r="AV49" s="317">
        <f>SUM(AT49*1000)+AU49+0.13</f>
        <v>689144.13</v>
      </c>
      <c r="AW49" s="320">
        <f>IF(AO49="","",RANK(AV49,AV6:AV65,0))</f>
        <v>26</v>
      </c>
      <c r="AX49" s="161"/>
      <c r="AY49" s="986"/>
      <c r="BB49" s="155">
        <f t="shared" si="9"/>
        <v>44</v>
      </c>
      <c r="BC49" s="166" t="str">
        <f>IF(BA6&lt;44,"",VLOOKUP(44,AK6:AW65,4,FALSE))</f>
        <v>LAZUROVÁ JIŘINA</v>
      </c>
      <c r="BD49" s="155">
        <f>IF(BA6&lt;44,"",VLOOKUP(44,AK6:AW65,10,FALSE))</f>
        <v>598</v>
      </c>
      <c r="BE49" s="8"/>
      <c r="BG49">
        <f>IF(BK49="","",BS49)</f>
        <v>19</v>
      </c>
      <c r="BH49" s="980"/>
      <c r="BI49" s="983"/>
      <c r="BJ49" s="257" t="s">
        <v>171</v>
      </c>
      <c r="BK49" s="344">
        <v>156</v>
      </c>
      <c r="BL49" s="345">
        <v>167</v>
      </c>
      <c r="BM49" s="345">
        <v>144</v>
      </c>
      <c r="BN49" s="345">
        <v>107</v>
      </c>
      <c r="BO49" s="345">
        <v>168</v>
      </c>
      <c r="BP49" s="159">
        <f>SUM(BK49:BO49)</f>
        <v>742</v>
      </c>
      <c r="BQ49" s="165">
        <f>MAX(BK49:BO49)</f>
        <v>168</v>
      </c>
      <c r="BR49" s="317">
        <f>SUM(BP49*1000)+BQ49+0.13</f>
        <v>742168.13</v>
      </c>
      <c r="BS49" s="320">
        <f>IF(BK49="","",RANK(BR49,BR6:BR65,0))</f>
        <v>19</v>
      </c>
      <c r="BT49" s="161"/>
      <c r="BU49" s="251"/>
      <c r="BV49" s="251"/>
      <c r="BW49" s="986"/>
      <c r="BZ49" s="155">
        <f t="shared" si="10"/>
        <v>44</v>
      </c>
      <c r="CA49" s="166" t="str">
        <f>IF(BY6&lt;44,"",VLOOKUP(44,BG6:BS65,4,FALSE))</f>
        <v>POSPÍŠIL LUKÁŠ</v>
      </c>
      <c r="CB49" s="155">
        <f>IF(BY6&lt;44,"",VLOOKUP(44,BG6:BS65,10,FALSE))</f>
        <v>573</v>
      </c>
      <c r="CC49" s="8"/>
      <c r="CE49">
        <f>IF(CI49="","",CQ49)</f>
        <v>16</v>
      </c>
      <c r="CF49" s="980"/>
      <c r="CG49" s="983"/>
      <c r="CH49" s="284" t="s">
        <v>155</v>
      </c>
      <c r="CI49" s="327">
        <v>161</v>
      </c>
      <c r="CJ49" s="327">
        <v>148</v>
      </c>
      <c r="CK49" s="327">
        <v>131</v>
      </c>
      <c r="CL49" s="327">
        <v>148</v>
      </c>
      <c r="CM49" s="327">
        <v>150</v>
      </c>
      <c r="CN49" s="159">
        <f>SUM(CI49:CM49)</f>
        <v>738</v>
      </c>
      <c r="CO49" s="165">
        <f>MAX(CI49:CM49)</f>
        <v>161</v>
      </c>
      <c r="CP49" s="317">
        <f>SUM(CN49*1000)+CO49+0.13</f>
        <v>738161.13</v>
      </c>
      <c r="CQ49" s="320">
        <f>IF(CI49="","",RANK(CP49,CP6:CP65,0))</f>
        <v>16</v>
      </c>
      <c r="CR49" s="161"/>
      <c r="CS49" s="251"/>
      <c r="CT49" s="251"/>
      <c r="CU49" s="986"/>
      <c r="CX49" s="155">
        <f t="shared" si="11"/>
        <v>44</v>
      </c>
      <c r="CY49" s="166" t="str">
        <f>IF(CW6&lt;44,"",VLOOKUP(44,CE6:CQ65,4,FALSE))</f>
        <v>VYCHNEROVÁ MICHAELA</v>
      </c>
      <c r="CZ49" s="155">
        <f>IF(CW6&lt;44,"",VLOOKUP(44,CE6:CQ65,10,FALSE))</f>
        <v>556</v>
      </c>
      <c r="DA49" s="8"/>
      <c r="DC49">
        <f>IF(DG49="","",DO49)</f>
        <v>50</v>
      </c>
      <c r="DD49" s="980"/>
      <c r="DE49" s="989"/>
      <c r="DF49" s="540" t="s">
        <v>286</v>
      </c>
      <c r="DG49" s="347">
        <v>108</v>
      </c>
      <c r="DH49" s="347">
        <v>81</v>
      </c>
      <c r="DI49" s="347">
        <v>106</v>
      </c>
      <c r="DJ49" s="347">
        <v>115</v>
      </c>
      <c r="DK49" s="347">
        <v>108</v>
      </c>
      <c r="DL49" s="159">
        <f>SUM(DG49:DK49)</f>
        <v>518</v>
      </c>
      <c r="DM49" s="165">
        <f>MAX(DG49:DK49)</f>
        <v>115</v>
      </c>
      <c r="DN49" s="317">
        <f>SUM(DL49*1000)+DM49+0.13</f>
        <v>518115.13</v>
      </c>
      <c r="DO49" s="320">
        <f>IF(DG49="","",RANK(DN49,DN6:DN65,0))</f>
        <v>50</v>
      </c>
      <c r="DP49" s="161"/>
      <c r="DQ49" s="251"/>
      <c r="DR49" s="251"/>
      <c r="DS49" s="986"/>
      <c r="DV49" s="155">
        <f t="shared" si="12"/>
        <v>44</v>
      </c>
      <c r="DW49" s="166" t="str">
        <f>IF(DU6&lt;44,"",VLOOKUP(44,DC6:DO65,4,FALSE))</f>
        <v>Pavlíček Rudolf</v>
      </c>
      <c r="DX49" s="155">
        <f>IF(DU6&lt;44,"",VLOOKUP(44,DC6:DO65,10,FALSE))</f>
        <v>564</v>
      </c>
      <c r="DY49" s="8"/>
      <c r="EA49">
        <f>IF(EE49="","",EM49)</f>
        <v>40</v>
      </c>
      <c r="EB49" s="980"/>
      <c r="EC49" s="1003"/>
      <c r="ED49" s="626" t="s">
        <v>285</v>
      </c>
      <c r="EE49" s="640">
        <v>94</v>
      </c>
      <c r="EF49" s="641">
        <v>120</v>
      </c>
      <c r="EG49" s="641">
        <v>94</v>
      </c>
      <c r="EH49" s="641">
        <v>170</v>
      </c>
      <c r="EI49" s="641">
        <v>145</v>
      </c>
      <c r="EJ49" s="630">
        <f>SUM(EE49:EI49)</f>
        <v>623</v>
      </c>
      <c r="EK49" s="165">
        <f>MAX(EE49:EI49)</f>
        <v>170</v>
      </c>
      <c r="EL49" s="317">
        <f>SUM(EJ49*1000)+EK49+0.13</f>
        <v>623170.13</v>
      </c>
      <c r="EM49" s="320">
        <f>IF(EE49="","",RANK(EL49,EL6:EL65,0))</f>
        <v>40</v>
      </c>
      <c r="EN49" s="161"/>
      <c r="EO49" s="251"/>
      <c r="EP49" s="251"/>
      <c r="EQ49" s="992"/>
      <c r="ET49" s="155">
        <f t="shared" si="13"/>
        <v>44</v>
      </c>
      <c r="EU49" s="166" t="str">
        <f>IF(ES6&lt;44,"",VLOOKUP(44,EA6:EM65,4,FALSE))</f>
        <v>Fay Vlastimil</v>
      </c>
      <c r="EV49" s="155">
        <f>IF(ES6&lt;44,"",VLOOKUP(44,EA6:EM65,10,FALSE))</f>
        <v>598</v>
      </c>
      <c r="EW49" s="8"/>
      <c r="EX49" s="8"/>
      <c r="EY49">
        <f>IF(FC49="","",FK49)</f>
        <v>21</v>
      </c>
      <c r="EZ49" s="1039"/>
      <c r="FA49" s="1035"/>
      <c r="FB49" s="788" t="s">
        <v>220</v>
      </c>
      <c r="FC49" s="714">
        <v>133</v>
      </c>
      <c r="FD49" s="714">
        <v>137</v>
      </c>
      <c r="FE49" s="714">
        <v>172</v>
      </c>
      <c r="FF49" s="714">
        <v>132</v>
      </c>
      <c r="FG49" s="714">
        <v>155</v>
      </c>
      <c r="FH49" s="715">
        <f>SUM(FC49:FG49)</f>
        <v>729</v>
      </c>
      <c r="FI49" s="711">
        <f>MAX(FC49:FG49)</f>
        <v>172</v>
      </c>
      <c r="FJ49" s="712">
        <f>SUM(FH49*1000)+FI49+0.13</f>
        <v>729172.13</v>
      </c>
      <c r="FK49" s="716">
        <f>IF(FC49="","",RANK(FJ49,FJ6:FJ65,0))</f>
        <v>21</v>
      </c>
      <c r="FL49" s="717"/>
      <c r="FM49" s="251"/>
      <c r="FN49" s="251"/>
      <c r="FO49" s="1037"/>
      <c r="FP49" s="8"/>
      <c r="FQ49" s="804"/>
      <c r="FR49" s="811">
        <f t="shared" si="14"/>
        <v>44</v>
      </c>
      <c r="FS49" s="809" t="str">
        <f>IF(FQ6&lt;44,"",VLOOKUP(44,EY7:FL66,4,FALSE))</f>
        <v>Kutina Pavel</v>
      </c>
      <c r="FT49" s="808">
        <f>IF(FQ6&lt;44,"",VLOOKUP(44,EY6:FL65,10,FALSE))</f>
        <v>615</v>
      </c>
      <c r="FU49" s="8"/>
      <c r="FW49" t="str">
        <f>IF(GA49="","",GI49)</f>
        <v/>
      </c>
      <c r="FX49" s="980"/>
      <c r="FY49" s="983"/>
      <c r="FZ49" s="160"/>
      <c r="GA49" s="347"/>
      <c r="GB49" s="347"/>
      <c r="GC49" s="347"/>
      <c r="GD49" s="347"/>
      <c r="GE49" s="347"/>
      <c r="GF49" s="159">
        <f>SUM(GA49:GE49)</f>
        <v>0</v>
      </c>
      <c r="GG49" s="165">
        <f>MAX(GA49:GE49)</f>
        <v>0</v>
      </c>
      <c r="GH49" s="317">
        <f>SUM(GF49*1000)+GG49+0.13</f>
        <v>0.13</v>
      </c>
      <c r="GI49" s="320" t="str">
        <f>IF(GA49="","",RANK(GH49,GH6:GH70,0))</f>
        <v/>
      </c>
      <c r="GJ49" s="161"/>
      <c r="GK49" s="251"/>
      <c r="GL49" s="251"/>
      <c r="GM49" s="986"/>
      <c r="GP49" s="155">
        <f t="shared" si="15"/>
        <v>44</v>
      </c>
      <c r="GQ49" s="166" t="str">
        <f>IF(GO6&lt;44,"",VLOOKUP(44,FW6:GI70,4,FALSE))</f>
        <v/>
      </c>
      <c r="GR49" s="155" t="str">
        <f>IF(GO6&lt;44,"",VLOOKUP(44,FW6:GI70,10,FALSE))</f>
        <v/>
      </c>
    </row>
    <row r="50" spans="15:200" ht="15" customHeight="1">
      <c r="O50">
        <f>IF(S50="","",AA50)</f>
        <v>41</v>
      </c>
      <c r="P50" s="980"/>
      <c r="Q50" s="983"/>
      <c r="R50" s="167" t="s">
        <v>194</v>
      </c>
      <c r="S50" s="327">
        <v>127</v>
      </c>
      <c r="T50" s="319">
        <v>124</v>
      </c>
      <c r="U50" s="319">
        <v>99</v>
      </c>
      <c r="V50" s="319">
        <v>134</v>
      </c>
      <c r="W50" s="319">
        <v>105</v>
      </c>
      <c r="X50" s="159">
        <f>SUM(S50:W50)</f>
        <v>589</v>
      </c>
      <c r="Y50" s="165">
        <f>MAX(S50:W50)</f>
        <v>134</v>
      </c>
      <c r="Z50" s="317">
        <f>SUM(X50*1000)+Y50+0.12</f>
        <v>589134.12</v>
      </c>
      <c r="AA50" s="320">
        <f>IF(S50="","",RANK(Z50,Z6:Z65,0))</f>
        <v>41</v>
      </c>
      <c r="AB50" s="161"/>
      <c r="AC50" s="986"/>
      <c r="AF50" s="155">
        <f t="shared" si="8"/>
        <v>45</v>
      </c>
      <c r="AG50" s="166" t="str">
        <f>IF(AE6&lt;45,"",VLOOKUP(45,O6:AA65,4,FALSE))</f>
        <v>FAY VLASTIMIL</v>
      </c>
      <c r="AH50" s="155">
        <f>IF(AE6&lt;45,"",VLOOKUP(45,O6:AA65,10,FALSE))</f>
        <v>571</v>
      </c>
      <c r="AI50" s="8"/>
      <c r="AK50">
        <f>IF(AO50="","",AW50)</f>
        <v>49</v>
      </c>
      <c r="AL50" s="980"/>
      <c r="AM50" s="983"/>
      <c r="AN50" s="244" t="s">
        <v>233</v>
      </c>
      <c r="AO50" s="327">
        <v>85</v>
      </c>
      <c r="AP50" s="319">
        <v>85</v>
      </c>
      <c r="AQ50" s="319">
        <v>109</v>
      </c>
      <c r="AR50" s="319">
        <v>107</v>
      </c>
      <c r="AS50" s="319">
        <v>118</v>
      </c>
      <c r="AT50" s="159">
        <f>SUM(AO50:AS50)</f>
        <v>504</v>
      </c>
      <c r="AU50" s="165">
        <f>MAX(AO50:AS50)</f>
        <v>118</v>
      </c>
      <c r="AV50" s="317">
        <f>SUM(AT50*1000)+AU50+0.12</f>
        <v>504118.12</v>
      </c>
      <c r="AW50" s="320">
        <f>IF(AO50="","",RANK(AV50,AV6:AV65,0))</f>
        <v>49</v>
      </c>
      <c r="AX50" s="161"/>
      <c r="AY50" s="986"/>
      <c r="BB50" s="155">
        <f t="shared" si="9"/>
        <v>45</v>
      </c>
      <c r="BC50" s="166" t="str">
        <f>IF(BA6&lt;45,"",VLOOKUP(45,AK6:AW65,4,FALSE))</f>
        <v>MOTTL PAVEL</v>
      </c>
      <c r="BD50" s="155">
        <f>IF(BA6&lt;45,"",VLOOKUP(45,AK6:AW65,10,FALSE))</f>
        <v>596</v>
      </c>
      <c r="BE50" s="8"/>
      <c r="BG50">
        <f>IF(BK50="","",BS50)</f>
        <v>5</v>
      </c>
      <c r="BH50" s="980"/>
      <c r="BI50" s="983"/>
      <c r="BJ50" s="258" t="s">
        <v>250</v>
      </c>
      <c r="BK50" s="344">
        <v>152</v>
      </c>
      <c r="BL50" s="345">
        <v>228</v>
      </c>
      <c r="BM50" s="345">
        <v>196</v>
      </c>
      <c r="BN50" s="345">
        <v>158</v>
      </c>
      <c r="BO50" s="345">
        <v>112</v>
      </c>
      <c r="BP50" s="159">
        <f>SUM(BK50:BO50)</f>
        <v>846</v>
      </c>
      <c r="BQ50" s="165">
        <f>MAX(BK50:BO50)</f>
        <v>228</v>
      </c>
      <c r="BR50" s="317">
        <f>SUM(BP50*1000)+BQ50+0.12</f>
        <v>846228.12</v>
      </c>
      <c r="BS50" s="320">
        <f>IF(BK50="","",RANK(BR50,BR6:BR65,0))</f>
        <v>5</v>
      </c>
      <c r="BT50" s="161"/>
      <c r="BU50" s="251"/>
      <c r="BV50" s="251"/>
      <c r="BW50" s="986"/>
      <c r="BZ50" s="155">
        <f t="shared" si="10"/>
        <v>45</v>
      </c>
      <c r="CA50" s="166" t="str">
        <f>IF(BY6&lt;45,"",VLOOKUP(45,BG6:BS65,4,FALSE))</f>
        <v>ŘEHÁK JAROSLAV</v>
      </c>
      <c r="CB50" s="155">
        <f>IF(BY6&lt;45,"",VLOOKUP(45,BG6:BS65,10,FALSE))</f>
        <v>567</v>
      </c>
      <c r="CC50" s="8"/>
      <c r="CE50">
        <f>IF(CI50="","",CQ50)</f>
        <v>12</v>
      </c>
      <c r="CF50" s="980"/>
      <c r="CG50" s="983"/>
      <c r="CH50" s="284" t="s">
        <v>154</v>
      </c>
      <c r="CI50" s="327">
        <v>124</v>
      </c>
      <c r="CJ50" s="327">
        <v>169</v>
      </c>
      <c r="CK50" s="327">
        <v>137</v>
      </c>
      <c r="CL50" s="327">
        <v>193</v>
      </c>
      <c r="CM50" s="327">
        <v>150</v>
      </c>
      <c r="CN50" s="159">
        <f>SUM(CI50:CM50)</f>
        <v>773</v>
      </c>
      <c r="CO50" s="165">
        <f>MAX(CI50:CM50)</f>
        <v>193</v>
      </c>
      <c r="CP50" s="317">
        <f>SUM(CN50*1000)+CO50+0.12</f>
        <v>773193.12</v>
      </c>
      <c r="CQ50" s="320">
        <f>IF(CI50="","",RANK(CP50,CP6:CP65,0))</f>
        <v>12</v>
      </c>
      <c r="CR50" s="161"/>
      <c r="CS50" s="251"/>
      <c r="CT50" s="251"/>
      <c r="CU50" s="986"/>
      <c r="CX50" s="155">
        <f t="shared" si="11"/>
        <v>45</v>
      </c>
      <c r="CY50" s="166" t="str">
        <f>IF(CW6&lt;45,"",VLOOKUP(45,CE6:CQ65,4,FALSE))</f>
        <v>HÁJEK MOJMÍR</v>
      </c>
      <c r="CZ50" s="155">
        <f>IF(CW6&lt;45,"",VLOOKUP(45,CE6:CQ65,10,FALSE))</f>
        <v>549</v>
      </c>
      <c r="DA50" s="8"/>
      <c r="DC50">
        <f>IF(DG50="","",DO50)</f>
        <v>42</v>
      </c>
      <c r="DD50" s="980"/>
      <c r="DE50" s="989"/>
      <c r="DF50" s="540" t="s">
        <v>30</v>
      </c>
      <c r="DG50" s="347">
        <v>91</v>
      </c>
      <c r="DH50" s="347">
        <v>129</v>
      </c>
      <c r="DI50" s="347">
        <v>139</v>
      </c>
      <c r="DJ50" s="347">
        <v>126</v>
      </c>
      <c r="DK50" s="347">
        <v>121</v>
      </c>
      <c r="DL50" s="159">
        <f>SUM(DG50:DK50)</f>
        <v>606</v>
      </c>
      <c r="DM50" s="165">
        <f>MAX(DG50:DK50)</f>
        <v>139</v>
      </c>
      <c r="DN50" s="317">
        <f>SUM(DL50*1000)+DM50+0.12</f>
        <v>606139.12</v>
      </c>
      <c r="DO50" s="320">
        <f>IF(DG50="","",RANK(DN50,DN6:DN65,0))</f>
        <v>42</v>
      </c>
      <c r="DP50" s="161"/>
      <c r="DQ50" s="251"/>
      <c r="DR50" s="251"/>
      <c r="DS50" s="986"/>
      <c r="DV50" s="155">
        <f t="shared" si="12"/>
        <v>45</v>
      </c>
      <c r="DW50" s="166" t="str">
        <f>IF(DU6&lt;45,"",VLOOKUP(45,DC6:DO65,4,FALSE))</f>
        <v>Čermák Tomáš</v>
      </c>
      <c r="DX50" s="155">
        <f>IF(DU6&lt;45,"",VLOOKUP(45,DC6:DO65,10,FALSE))</f>
        <v>561</v>
      </c>
      <c r="DY50" s="8"/>
      <c r="EA50">
        <f>IF(EE50="","",EM50)</f>
        <v>44</v>
      </c>
      <c r="EB50" s="980"/>
      <c r="EC50" s="1003"/>
      <c r="ED50" s="626" t="s">
        <v>104</v>
      </c>
      <c r="EE50" s="640">
        <v>94</v>
      </c>
      <c r="EF50" s="641">
        <v>134</v>
      </c>
      <c r="EG50" s="641">
        <v>122</v>
      </c>
      <c r="EH50" s="641">
        <v>119</v>
      </c>
      <c r="EI50" s="641">
        <v>129</v>
      </c>
      <c r="EJ50" s="630">
        <f>SUM(EE50:EI50)</f>
        <v>598</v>
      </c>
      <c r="EK50" s="165">
        <f>MAX(EE50:EI50)</f>
        <v>134</v>
      </c>
      <c r="EL50" s="317">
        <f>SUM(EJ50*1000)+EK50+0.12</f>
        <v>598134.12</v>
      </c>
      <c r="EM50" s="320">
        <f>IF(EE50="","",RANK(EL50,EL6:EL65,0))</f>
        <v>44</v>
      </c>
      <c r="EN50" s="161"/>
      <c r="EO50" s="251"/>
      <c r="EP50" s="251"/>
      <c r="EQ50" s="992"/>
      <c r="ET50" s="155">
        <f t="shared" si="13"/>
        <v>45</v>
      </c>
      <c r="EU50" s="166" t="str">
        <f>IF(ES6&lt;45,"",VLOOKUP(45,EA6:EM65,4,FALSE))</f>
        <v>Tichý Hugo</v>
      </c>
      <c r="EV50" s="155">
        <f>IF(ES6&lt;45,"",VLOOKUP(45,EA6:EM65,10,FALSE))</f>
        <v>597</v>
      </c>
      <c r="EW50" s="8"/>
      <c r="EX50" s="8"/>
      <c r="EY50">
        <f>IF(FC50="","",FK50)</f>
        <v>48</v>
      </c>
      <c r="EZ50" s="1039"/>
      <c r="FA50" s="1035"/>
      <c r="FB50" s="788" t="s">
        <v>73</v>
      </c>
      <c r="FC50" s="714">
        <v>102</v>
      </c>
      <c r="FD50" s="714">
        <v>116</v>
      </c>
      <c r="FE50" s="714">
        <v>115</v>
      </c>
      <c r="FF50" s="714">
        <v>132</v>
      </c>
      <c r="FG50" s="714">
        <v>86</v>
      </c>
      <c r="FH50" s="715">
        <f>SUM(FC50:FG50)</f>
        <v>551</v>
      </c>
      <c r="FI50" s="711">
        <f>MAX(FC50:FG50)</f>
        <v>132</v>
      </c>
      <c r="FJ50" s="712">
        <f>SUM(FH50*1000)+FI50+0.12</f>
        <v>551132.12</v>
      </c>
      <c r="FK50" s="716">
        <f>IF(FC50="","",RANK(FJ50,FJ6:FJ65,0))</f>
        <v>48</v>
      </c>
      <c r="FL50" s="717"/>
      <c r="FM50" s="251"/>
      <c r="FN50" s="251"/>
      <c r="FO50" s="1037"/>
      <c r="FP50" s="8"/>
      <c r="FQ50" s="804"/>
      <c r="FR50" s="811">
        <f t="shared" si="14"/>
        <v>45</v>
      </c>
      <c r="FS50" s="809" t="str">
        <f>IF(FQ6&lt;45,"",VLOOKUP(45,EY6:FL65,4,FALSE))</f>
        <v>Růžička Václav</v>
      </c>
      <c r="FT50" s="808">
        <f>IF(FQ6&lt;45,"",VLOOKUP(45,EY6:FL65,10,FALSE))</f>
        <v>586</v>
      </c>
      <c r="FU50" s="8"/>
      <c r="FW50" t="str">
        <f>IF(GA50="","",GI50)</f>
        <v/>
      </c>
      <c r="FX50" s="980"/>
      <c r="FY50" s="983"/>
      <c r="FZ50" s="160"/>
      <c r="GA50" s="347"/>
      <c r="GB50" s="347"/>
      <c r="GC50" s="347"/>
      <c r="GD50" s="347"/>
      <c r="GE50" s="347"/>
      <c r="GF50" s="159">
        <f>SUM(GA50:GE50)</f>
        <v>0</v>
      </c>
      <c r="GG50" s="165">
        <f>MAX(GA50:GE50)</f>
        <v>0</v>
      </c>
      <c r="GH50" s="317">
        <f>SUM(GF50*1000)+GG50+0.12</f>
        <v>0.12</v>
      </c>
      <c r="GI50" s="320" t="str">
        <f>IF(GA50="","",RANK(GH50,GH6:GH70,0))</f>
        <v/>
      </c>
      <c r="GJ50" s="161"/>
      <c r="GK50" s="251"/>
      <c r="GL50" s="251"/>
      <c r="GM50" s="986"/>
      <c r="GP50" s="155">
        <f t="shared" si="15"/>
        <v>45</v>
      </c>
      <c r="GQ50" s="166" t="str">
        <f>IF(GO6&lt;45,"",VLOOKUP(45,FW6:GI70,4,FALSE))</f>
        <v/>
      </c>
      <c r="GR50" s="155" t="str">
        <f>IF(GO6&lt;45,"",VLOOKUP(45,FW6:GI70,10,FALSE))</f>
        <v/>
      </c>
    </row>
    <row r="51" spans="15:200" ht="15" customHeight="1">
      <c r="O51">
        <f>IF(S51="","",AA51)</f>
        <v>45</v>
      </c>
      <c r="P51" s="980"/>
      <c r="Q51" s="983"/>
      <c r="R51" s="176" t="s">
        <v>195</v>
      </c>
      <c r="S51" s="327">
        <v>138</v>
      </c>
      <c r="T51" s="319">
        <v>83</v>
      </c>
      <c r="U51" s="319">
        <v>110</v>
      </c>
      <c r="V51" s="319">
        <v>134</v>
      </c>
      <c r="W51" s="319">
        <v>106</v>
      </c>
      <c r="X51" s="159">
        <f>SUM(S51:W51)</f>
        <v>571</v>
      </c>
      <c r="Y51" s="165">
        <f>MAX(S51:W51)</f>
        <v>138</v>
      </c>
      <c r="Z51" s="317">
        <f>SUM(X51*1000)+Y51+0.11</f>
        <v>571138.11</v>
      </c>
      <c r="AA51" s="320">
        <f>IF(S51="","",RANK(Z51,Z6:Z65,0))</f>
        <v>45</v>
      </c>
      <c r="AB51" s="161"/>
      <c r="AC51" s="986"/>
      <c r="AF51" s="155">
        <f t="shared" si="8"/>
        <v>46</v>
      </c>
      <c r="AG51" s="166" t="str">
        <f>IF(AE6&lt;46,"",VLOOKUP(46,O6:AA65,4,FALSE))</f>
        <v>AUNICKÝ FRANTIŠEK</v>
      </c>
      <c r="AH51" s="155">
        <f>IF(AE6&lt;46,"",VLOOKUP(46,O6:AA65,10,FALSE))</f>
        <v>560</v>
      </c>
      <c r="AI51" s="8"/>
      <c r="AK51">
        <f>IF(AO51="","",AW51)</f>
        <v>50</v>
      </c>
      <c r="AL51" s="980"/>
      <c r="AM51" s="983"/>
      <c r="AN51" s="245" t="s">
        <v>181</v>
      </c>
      <c r="AO51" s="327">
        <v>99</v>
      </c>
      <c r="AP51" s="319">
        <v>89</v>
      </c>
      <c r="AQ51" s="319">
        <v>98</v>
      </c>
      <c r="AR51" s="319">
        <v>99</v>
      </c>
      <c r="AS51" s="319">
        <v>113</v>
      </c>
      <c r="AT51" s="159">
        <f>SUM(AO51:AS51)</f>
        <v>498</v>
      </c>
      <c r="AU51" s="165">
        <f>MAX(AO51:AS51)</f>
        <v>113</v>
      </c>
      <c r="AV51" s="317">
        <f>SUM(AT51*1000)+AU51+0.11</f>
        <v>498113.11</v>
      </c>
      <c r="AW51" s="320">
        <f>IF(AO51="","",RANK(AV51,AV6:AV65,0))</f>
        <v>50</v>
      </c>
      <c r="AX51" s="161"/>
      <c r="AY51" s="986"/>
      <c r="BB51" s="155">
        <f t="shared" si="9"/>
        <v>46</v>
      </c>
      <c r="BC51" s="166" t="str">
        <f>IF(BA6&lt;46,"",VLOOKUP(46,AK6:AW65,4,FALSE))</f>
        <v>ŘEHÁK JAROSLAV</v>
      </c>
      <c r="BD51" s="155">
        <f>IF(BA6&lt;46,"",VLOOKUP(46,AK6:AW65,10,FALSE))</f>
        <v>573</v>
      </c>
      <c r="BE51" s="8"/>
      <c r="BG51">
        <f>IF(BK51="","",BS51)</f>
        <v>29</v>
      </c>
      <c r="BH51" s="980"/>
      <c r="BI51" s="983"/>
      <c r="BJ51" s="263" t="s">
        <v>170</v>
      </c>
      <c r="BK51" s="344">
        <v>151</v>
      </c>
      <c r="BL51" s="345">
        <v>117</v>
      </c>
      <c r="BM51" s="345">
        <v>158</v>
      </c>
      <c r="BN51" s="345">
        <v>120</v>
      </c>
      <c r="BO51" s="345">
        <v>137</v>
      </c>
      <c r="BP51" s="159">
        <f>SUM(BK51:BO51)</f>
        <v>683</v>
      </c>
      <c r="BQ51" s="165">
        <f>MAX(BK51:BO51)</f>
        <v>158</v>
      </c>
      <c r="BR51" s="317">
        <f>SUM(BP51*1000)+BQ51+0.11</f>
        <v>683158.11</v>
      </c>
      <c r="BS51" s="320">
        <f>IF(BK51="","",RANK(BR51,BR6:BR65,0))</f>
        <v>29</v>
      </c>
      <c r="BT51" s="161"/>
      <c r="BU51" s="251"/>
      <c r="BV51" s="251"/>
      <c r="BW51" s="986"/>
      <c r="BZ51" s="155">
        <f t="shared" si="10"/>
        <v>46</v>
      </c>
      <c r="CA51" s="166" t="str">
        <f>IF(BY6&lt;46,"",VLOOKUP(46,BG6:BS65,4,FALSE))</f>
        <v>ČERMÁK TOMÁŠ</v>
      </c>
      <c r="CB51" s="155">
        <f>IF(BY6&lt;46,"",VLOOKUP(46,BG6:BS65,10,FALSE))</f>
        <v>564</v>
      </c>
      <c r="CC51" s="8"/>
      <c r="CE51">
        <f>IF(CI51="","",CQ51)</f>
        <v>9</v>
      </c>
      <c r="CF51" s="980"/>
      <c r="CG51" s="983"/>
      <c r="CH51" s="284" t="s">
        <v>157</v>
      </c>
      <c r="CI51" s="327">
        <v>146</v>
      </c>
      <c r="CJ51" s="327">
        <v>218</v>
      </c>
      <c r="CK51" s="327">
        <v>142</v>
      </c>
      <c r="CL51" s="327">
        <v>138</v>
      </c>
      <c r="CM51" s="327">
        <v>147</v>
      </c>
      <c r="CN51" s="159">
        <f>SUM(CI51:CM51)</f>
        <v>791</v>
      </c>
      <c r="CO51" s="165">
        <f>MAX(CI51:CM51)</f>
        <v>218</v>
      </c>
      <c r="CP51" s="317">
        <f>SUM(CN51*1000)+CO51+0.11</f>
        <v>791218.11</v>
      </c>
      <c r="CQ51" s="320">
        <f>IF(CI51="","",RANK(CP51,CP6:CP65,0))</f>
        <v>9</v>
      </c>
      <c r="CR51" s="161"/>
      <c r="CS51" s="251"/>
      <c r="CT51" s="251"/>
      <c r="CU51" s="986"/>
      <c r="CX51" s="155">
        <f t="shared" si="11"/>
        <v>46</v>
      </c>
      <c r="CY51" s="166" t="str">
        <f>IF(CW6&lt;46,"",VLOOKUP(46,CE6:CQ65,4,FALSE))</f>
        <v>TÁBORSKÝ FRANTIŠEK</v>
      </c>
      <c r="CZ51" s="155">
        <f>IF(CW6&lt;46,"",VLOOKUP(46,CE6:CQ65,10,FALSE))</f>
        <v>535</v>
      </c>
      <c r="DA51" s="8"/>
      <c r="DC51">
        <f>IF(DG51="","",DO51)</f>
        <v>43</v>
      </c>
      <c r="DD51" s="980"/>
      <c r="DE51" s="989"/>
      <c r="DF51" s="540" t="s">
        <v>79</v>
      </c>
      <c r="DG51" s="347">
        <v>99</v>
      </c>
      <c r="DH51" s="347">
        <v>105</v>
      </c>
      <c r="DI51" s="347">
        <v>134</v>
      </c>
      <c r="DJ51" s="347">
        <v>97</v>
      </c>
      <c r="DK51" s="347">
        <v>150</v>
      </c>
      <c r="DL51" s="159">
        <f>SUM(DG51:DK51)</f>
        <v>585</v>
      </c>
      <c r="DM51" s="165">
        <f>MAX(DG51:DK51)</f>
        <v>150</v>
      </c>
      <c r="DN51" s="317">
        <f>SUM(DL51*1000)+DM51+0.11</f>
        <v>585150.11</v>
      </c>
      <c r="DO51" s="320">
        <f>IF(DG51="","",RANK(DN51,DN6:DN65,0))</f>
        <v>43</v>
      </c>
      <c r="DP51" s="161"/>
      <c r="DQ51" s="251"/>
      <c r="DR51" s="251"/>
      <c r="DS51" s="986"/>
      <c r="DV51" s="155">
        <f t="shared" si="12"/>
        <v>46</v>
      </c>
      <c r="DW51" s="166" t="str">
        <f>IF(DU6&lt;46,"",VLOOKUP(46,DC6:DO65,4,FALSE))</f>
        <v>Katolický Zdenek</v>
      </c>
      <c r="DX51" s="155">
        <f>IF(DU6&lt;46,"",VLOOKUP(46,DC6:DO65,10,FALSE))</f>
        <v>557</v>
      </c>
      <c r="DY51" s="8"/>
      <c r="EA51">
        <f>IF(EE51="","",EM51)</f>
        <v>14</v>
      </c>
      <c r="EB51" s="980"/>
      <c r="EC51" s="1003"/>
      <c r="ED51" s="626" t="s">
        <v>105</v>
      </c>
      <c r="EE51" s="640">
        <v>169</v>
      </c>
      <c r="EF51" s="641">
        <v>142</v>
      </c>
      <c r="EG51" s="641">
        <v>160</v>
      </c>
      <c r="EH51" s="641">
        <v>161</v>
      </c>
      <c r="EI51" s="641">
        <v>141</v>
      </c>
      <c r="EJ51" s="630">
        <f>SUM(EE51:EI51)</f>
        <v>773</v>
      </c>
      <c r="EK51" s="165">
        <f>MAX(EE51:EI51)</f>
        <v>169</v>
      </c>
      <c r="EL51" s="317">
        <f>SUM(EJ51*1000)+EK51+0.11</f>
        <v>773169.11</v>
      </c>
      <c r="EM51" s="320">
        <f>IF(EE51="","",RANK(EL51,EL6:EL65,0))</f>
        <v>14</v>
      </c>
      <c r="EN51" s="161"/>
      <c r="EO51" s="251"/>
      <c r="EP51" s="251"/>
      <c r="EQ51" s="992"/>
      <c r="ET51" s="155">
        <f t="shared" si="13"/>
        <v>46</v>
      </c>
      <c r="EU51" s="166" t="str">
        <f>IF(ES6&lt;46,"",VLOOKUP(46,EA6:EM65,4,FALSE))</f>
        <v>Kovář Jaroslav</v>
      </c>
      <c r="EV51" s="155">
        <f>IF(ES6&lt;46,"",VLOOKUP(46,EA6:EM65,10,FALSE))</f>
        <v>596</v>
      </c>
      <c r="EW51" s="8"/>
      <c r="EX51" s="8"/>
      <c r="EY51">
        <f>IF(FC51="","",FK51)</f>
        <v>23</v>
      </c>
      <c r="EZ51" s="1039"/>
      <c r="FA51" s="1035"/>
      <c r="FB51" s="788" t="s">
        <v>226</v>
      </c>
      <c r="FC51" s="714">
        <v>153</v>
      </c>
      <c r="FD51" s="714">
        <v>150</v>
      </c>
      <c r="FE51" s="714">
        <v>115</v>
      </c>
      <c r="FF51" s="714">
        <v>173</v>
      </c>
      <c r="FG51" s="714">
        <v>126</v>
      </c>
      <c r="FH51" s="715">
        <f>SUM(FC51:FG51)</f>
        <v>717</v>
      </c>
      <c r="FI51" s="711">
        <f>MAX(FC51:FG51)</f>
        <v>173</v>
      </c>
      <c r="FJ51" s="712">
        <f>SUM(FH51*1000)+FI51+0.11</f>
        <v>717173.11</v>
      </c>
      <c r="FK51" s="716">
        <f>IF(FC51="","",RANK(FJ51,FJ6:FJ65,0))</f>
        <v>23</v>
      </c>
      <c r="FL51" s="717"/>
      <c r="FM51" s="251"/>
      <c r="FN51" s="251"/>
      <c r="FO51" s="1037"/>
      <c r="FP51" s="8"/>
      <c r="FQ51" s="804"/>
      <c r="FR51" s="811">
        <f t="shared" si="14"/>
        <v>46</v>
      </c>
      <c r="FS51" s="809" t="str">
        <f>IF(FQ6&lt;46,"",VLOOKUP(46,EY6:FL65,4,FALSE))</f>
        <v>Pelikán Stanislav</v>
      </c>
      <c r="FT51" s="808">
        <f>IF(FQ6&lt;46,"",VLOOKUP(46,EY6:FL65,10,FALSE))</f>
        <v>578</v>
      </c>
      <c r="FU51" s="8"/>
      <c r="FW51" t="str">
        <f>IF(GA51="","",GI51)</f>
        <v/>
      </c>
      <c r="FX51" s="980"/>
      <c r="FY51" s="983"/>
      <c r="FZ51" s="160"/>
      <c r="GA51" s="347"/>
      <c r="GB51" s="347"/>
      <c r="GC51" s="347"/>
      <c r="GD51" s="347"/>
      <c r="GE51" s="347"/>
      <c r="GF51" s="159">
        <f>SUM(GA51:GE51)</f>
        <v>0</v>
      </c>
      <c r="GG51" s="165">
        <f>MAX(GA51:GE51)</f>
        <v>0</v>
      </c>
      <c r="GH51" s="317">
        <f>SUM(GF51*1000)+GG51+0.11</f>
        <v>0.11</v>
      </c>
      <c r="GI51" s="320" t="str">
        <f>IF(GA51="","",RANK(GH51,GH6:GH70,0))</f>
        <v/>
      </c>
      <c r="GJ51" s="161"/>
      <c r="GK51" s="251"/>
      <c r="GL51" s="251"/>
      <c r="GM51" s="986"/>
      <c r="GP51" s="155">
        <f t="shared" si="15"/>
        <v>46</v>
      </c>
      <c r="GQ51" s="166" t="str">
        <f>IF(GO6&lt;46,"",VLOOKUP(46,FW6:GI70,4,FALSE))</f>
        <v/>
      </c>
      <c r="GR51" s="155" t="str">
        <f>IF(GO6&lt;46,"",VLOOKUP(46,FW6:GI70,10,FALSE))</f>
        <v/>
      </c>
    </row>
    <row r="52" spans="15:200" ht="15" customHeight="1">
      <c r="O52">
        <f>IF(S52="","",AA52)</f>
        <v>39</v>
      </c>
      <c r="P52" s="980"/>
      <c r="Q52" s="983"/>
      <c r="R52" s="167" t="s">
        <v>196</v>
      </c>
      <c r="S52" s="327">
        <v>170</v>
      </c>
      <c r="T52" s="319">
        <v>122</v>
      </c>
      <c r="U52" s="319">
        <v>100</v>
      </c>
      <c r="V52" s="319">
        <v>128</v>
      </c>
      <c r="W52" s="319">
        <v>91</v>
      </c>
      <c r="X52" s="159">
        <f>SUM(S52:W52)</f>
        <v>611</v>
      </c>
      <c r="Y52" s="165">
        <f>MAX(S52:W52)</f>
        <v>170</v>
      </c>
      <c r="Z52" s="317">
        <f>SUM(X52*1000)+Y52+0.1</f>
        <v>611170.1</v>
      </c>
      <c r="AA52" s="320">
        <f>IF(S52="","",RANK(Z52,Z6:Z65,0))</f>
        <v>39</v>
      </c>
      <c r="AB52" s="159"/>
      <c r="AC52" s="986"/>
      <c r="AF52" s="155">
        <f t="shared" si="8"/>
        <v>47</v>
      </c>
      <c r="AG52" s="166" t="str">
        <f>IF(AE6&lt;47,"",VLOOKUP(47,O6:AA65,4,FALSE))</f>
        <v>ŘEHÁK JAROSLAV</v>
      </c>
      <c r="AH52" s="155">
        <f>IF(AE6&lt;47,"",VLOOKUP(47,O6:AA65,10,FALSE))</f>
        <v>553</v>
      </c>
      <c r="AI52" s="8"/>
      <c r="AK52">
        <f>IF(AO52="","",AW52)</f>
        <v>44</v>
      </c>
      <c r="AL52" s="980"/>
      <c r="AM52" s="983"/>
      <c r="AN52" s="246" t="s">
        <v>234</v>
      </c>
      <c r="AO52" s="327">
        <v>115</v>
      </c>
      <c r="AP52" s="319">
        <v>96</v>
      </c>
      <c r="AQ52" s="319">
        <v>134</v>
      </c>
      <c r="AR52" s="319">
        <v>117</v>
      </c>
      <c r="AS52" s="319">
        <v>136</v>
      </c>
      <c r="AT52" s="159">
        <f>SUM(AO52:AS52)</f>
        <v>598</v>
      </c>
      <c r="AU52" s="165">
        <f>MAX(AO52:AS52)</f>
        <v>136</v>
      </c>
      <c r="AV52" s="317">
        <f>SUM(AT52*1000)+AU52+0.1</f>
        <v>598136.1</v>
      </c>
      <c r="AW52" s="320">
        <f>IF(AO52="","",RANK(AV52,AV6:AV65,0))</f>
        <v>44</v>
      </c>
      <c r="AX52" s="159"/>
      <c r="AY52" s="986"/>
      <c r="BB52" s="155">
        <f t="shared" si="9"/>
        <v>47</v>
      </c>
      <c r="BC52" s="166" t="str">
        <f>IF(BA6&lt;47,"",VLOOKUP(47,AK6:AW65,4,FALSE))</f>
        <v>TÁBORSKÝ FRANTIŠEK</v>
      </c>
      <c r="BD52" s="155">
        <f>IF(BA6&lt;47,"",VLOOKUP(47,AK6:AW65,10,FALSE))</f>
        <v>563</v>
      </c>
      <c r="BE52" s="8"/>
      <c r="BG52">
        <f>IF(BK52="","",BS52)</f>
        <v>41</v>
      </c>
      <c r="BH52" s="980"/>
      <c r="BI52" s="983"/>
      <c r="BJ52" s="258" t="s">
        <v>169</v>
      </c>
      <c r="BK52" s="344">
        <v>97</v>
      </c>
      <c r="BL52" s="345">
        <v>101</v>
      </c>
      <c r="BM52" s="345">
        <v>119</v>
      </c>
      <c r="BN52" s="345">
        <v>128</v>
      </c>
      <c r="BO52" s="345">
        <v>154</v>
      </c>
      <c r="BP52" s="159">
        <f>SUM(BK52:BO52)</f>
        <v>599</v>
      </c>
      <c r="BQ52" s="165">
        <f>MAX(BK52:BO52)</f>
        <v>154</v>
      </c>
      <c r="BR52" s="317">
        <f>SUM(BP52*1000)+BQ52+0.1</f>
        <v>599154.1</v>
      </c>
      <c r="BS52" s="320">
        <f>IF(BK52="","",RANK(BR52,BR6:BR65,0))</f>
        <v>41</v>
      </c>
      <c r="BT52" s="159"/>
      <c r="BU52" s="250"/>
      <c r="BV52" s="250"/>
      <c r="BW52" s="986"/>
      <c r="BZ52" s="155">
        <f t="shared" si="10"/>
        <v>47</v>
      </c>
      <c r="CA52" s="166" t="str">
        <f>IF(BY6&lt;47,"",VLOOKUP(47,BG6:BS65,4,FALSE))</f>
        <v>KŘIKAVA MIROSLAV</v>
      </c>
      <c r="CB52" s="155">
        <f>IF(BY6&lt;47,"",VLOOKUP(47,BG6:BS65,10,FALSE))</f>
        <v>536</v>
      </c>
      <c r="CC52" s="8"/>
      <c r="CE52">
        <f>IF(CI52="","",CQ52)</f>
        <v>1</v>
      </c>
      <c r="CF52" s="980"/>
      <c r="CG52" s="983"/>
      <c r="CH52" s="286" t="s">
        <v>158</v>
      </c>
      <c r="CI52" s="327">
        <v>187</v>
      </c>
      <c r="CJ52" s="327">
        <v>192</v>
      </c>
      <c r="CK52" s="327">
        <v>175</v>
      </c>
      <c r="CL52" s="327">
        <v>168</v>
      </c>
      <c r="CM52" s="327">
        <v>179</v>
      </c>
      <c r="CN52" s="159">
        <f>SUM(CI52:CM52)</f>
        <v>901</v>
      </c>
      <c r="CO52" s="165">
        <f>MAX(CI52:CM52)</f>
        <v>192</v>
      </c>
      <c r="CP52" s="317">
        <f>SUM(CN52*1000)+CO52+0.1</f>
        <v>901192.1</v>
      </c>
      <c r="CQ52" s="320">
        <f>IF(CI52="","",RANK(CP52,CP6:CP65,0))</f>
        <v>1</v>
      </c>
      <c r="CR52" s="159"/>
      <c r="CS52" s="250"/>
      <c r="CT52" s="250"/>
      <c r="CU52" s="986"/>
      <c r="CX52" s="155">
        <f t="shared" si="11"/>
        <v>47</v>
      </c>
      <c r="CY52" s="166" t="str">
        <f>IF(CW6&lt;47,"",VLOOKUP(47,CE6:CQ65,4,FALSE))</f>
        <v>KALOŠOVÁ DAGMAR</v>
      </c>
      <c r="CZ52" s="155">
        <f>IF(CW6&lt;47,"",VLOOKUP(47,CE6:CQ65,10,FALSE))</f>
        <v>533</v>
      </c>
      <c r="DA52" s="8"/>
      <c r="DC52">
        <f>IF(DG52="","",DO52)</f>
        <v>47</v>
      </c>
      <c r="DD52" s="980"/>
      <c r="DE52" s="989"/>
      <c r="DF52" s="540" t="s">
        <v>287</v>
      </c>
      <c r="DG52" s="347">
        <v>140</v>
      </c>
      <c r="DH52" s="347">
        <v>112</v>
      </c>
      <c r="DI52" s="347">
        <v>97</v>
      </c>
      <c r="DJ52" s="347">
        <v>109</v>
      </c>
      <c r="DK52" s="347">
        <v>92</v>
      </c>
      <c r="DL52" s="159">
        <f>SUM(DG52:DK52)</f>
        <v>550</v>
      </c>
      <c r="DM52" s="165">
        <f>MAX(DG52:DK52)</f>
        <v>140</v>
      </c>
      <c r="DN52" s="317">
        <f>SUM(DL52*1000)+DM52+0.1</f>
        <v>550140.1</v>
      </c>
      <c r="DO52" s="320">
        <f>IF(DG52="","",RANK(DN52,DN6:DN65,0))</f>
        <v>47</v>
      </c>
      <c r="DP52" s="159"/>
      <c r="DQ52" s="250"/>
      <c r="DR52" s="250"/>
      <c r="DS52" s="986"/>
      <c r="DV52" s="155">
        <f t="shared" si="12"/>
        <v>47</v>
      </c>
      <c r="DW52" s="166" t="str">
        <f>IF(DU6&lt;47,"",VLOOKUP(47,DC6:DO65,4,FALSE))</f>
        <v>Neshyba Jaroslav</v>
      </c>
      <c r="DX52" s="155">
        <f>IF(DU6&lt;47,"",VLOOKUP(47,DC6:DO65,10,FALSE))</f>
        <v>550</v>
      </c>
      <c r="DY52" s="8"/>
      <c r="EA52">
        <f>IF(EE52="","",EM52)</f>
        <v>50</v>
      </c>
      <c r="EB52" s="980"/>
      <c r="EC52" s="1003"/>
      <c r="ED52" s="626" t="s">
        <v>292</v>
      </c>
      <c r="EE52" s="640">
        <v>82</v>
      </c>
      <c r="EF52" s="641">
        <v>56</v>
      </c>
      <c r="EG52" s="641">
        <v>65</v>
      </c>
      <c r="EH52" s="641">
        <v>49</v>
      </c>
      <c r="EI52" s="641">
        <v>81</v>
      </c>
      <c r="EJ52" s="630">
        <f>SUM(EE52:EI52)</f>
        <v>333</v>
      </c>
      <c r="EK52" s="165">
        <f>MAX(EE52:EI52)</f>
        <v>82</v>
      </c>
      <c r="EL52" s="317">
        <f>SUM(EJ52*1000)+EK52+0.1</f>
        <v>333082.09999999998</v>
      </c>
      <c r="EM52" s="320">
        <f>IF(EE52="","",RANK(EL52,EL6:EL65,0))</f>
        <v>50</v>
      </c>
      <c r="EN52" s="159"/>
      <c r="EO52" s="250"/>
      <c r="EP52" s="250"/>
      <c r="EQ52" s="992"/>
      <c r="ET52" s="155">
        <f t="shared" si="13"/>
        <v>47</v>
      </c>
      <c r="EU52" s="166" t="str">
        <f>IF(ES6&lt;47,"",VLOOKUP(47,EA6:EM65,4,FALSE))</f>
        <v>Aunický František</v>
      </c>
      <c r="EV52" s="155">
        <f>IF(ES6&lt;47,"",VLOOKUP(47,EA6:EM65,10,FALSE))</f>
        <v>593</v>
      </c>
      <c r="EW52" s="8"/>
      <c r="EX52" s="8"/>
      <c r="EY52">
        <f>IF(FC52="","",FK52)</f>
        <v>29</v>
      </c>
      <c r="EZ52" s="1039"/>
      <c r="FA52" s="1035"/>
      <c r="FB52" s="789" t="s">
        <v>118</v>
      </c>
      <c r="FC52" s="718">
        <v>141</v>
      </c>
      <c r="FD52" s="718">
        <v>144</v>
      </c>
      <c r="FE52" s="718">
        <v>113</v>
      </c>
      <c r="FF52" s="718">
        <v>140</v>
      </c>
      <c r="FG52" s="718">
        <v>134</v>
      </c>
      <c r="FH52" s="719">
        <f>SUM(FC52:FG52)</f>
        <v>672</v>
      </c>
      <c r="FI52" s="720">
        <f>MAX(FC52:FG52)</f>
        <v>144</v>
      </c>
      <c r="FJ52" s="721">
        <f>SUM(FH52*1000)+FI52+0.1</f>
        <v>672144.1</v>
      </c>
      <c r="FK52" s="722">
        <f>IF(FC52="","",RANK(FJ52,FJ6:FJ65,0))</f>
        <v>29</v>
      </c>
      <c r="FL52" s="719"/>
      <c r="FM52" s="250"/>
      <c r="FN52" s="250"/>
      <c r="FO52" s="1037"/>
      <c r="FP52" s="8"/>
      <c r="FQ52" s="804"/>
      <c r="FR52" s="811">
        <f t="shared" si="14"/>
        <v>47</v>
      </c>
      <c r="FS52" s="809" t="str">
        <f>IF(FQ6&lt;47,"",VLOOKUP(47,EY6:FL65,4,FALSE))</f>
        <v>Pospíšil Lukáš</v>
      </c>
      <c r="FT52" s="808">
        <f>IF(FQ6&lt;47,"",VLOOKUP(47,EY6:FL65,10,FALSE))</f>
        <v>575</v>
      </c>
      <c r="FU52" s="8"/>
      <c r="FW52" t="str">
        <f>IF(GA52="","",GI52)</f>
        <v/>
      </c>
      <c r="FX52" s="980"/>
      <c r="FY52" s="983"/>
      <c r="FZ52" s="160"/>
      <c r="GA52" s="347"/>
      <c r="GB52" s="347"/>
      <c r="GC52" s="347"/>
      <c r="GD52" s="347"/>
      <c r="GE52" s="347"/>
      <c r="GF52" s="159">
        <f>SUM(GA52:GE52)</f>
        <v>0</v>
      </c>
      <c r="GG52" s="165">
        <f>MAX(GA52:GE52)</f>
        <v>0</v>
      </c>
      <c r="GH52" s="317">
        <f>SUM(GF52*1000)+GG52+0.1</f>
        <v>0.1</v>
      </c>
      <c r="GI52" s="320" t="str">
        <f>IF(GA52="","",RANK(GH52,GH6:GH70,0))</f>
        <v/>
      </c>
      <c r="GJ52" s="159"/>
      <c r="GK52" s="250"/>
      <c r="GL52" s="250"/>
      <c r="GM52" s="986"/>
      <c r="GP52" s="155">
        <f t="shared" si="15"/>
        <v>47</v>
      </c>
      <c r="GQ52" s="166" t="str">
        <f>IF(GO6&lt;47,"",VLOOKUP(47,FW6:GI70,4,FALSE))</f>
        <v/>
      </c>
      <c r="GR52" s="155" t="str">
        <f>IF(GO6&lt;47,"",VLOOKUP(47,FW6:GI70,10,FALSE))</f>
        <v/>
      </c>
    </row>
    <row r="53" spans="15:200" ht="15" customHeight="1">
      <c r="P53" s="981"/>
      <c r="Q53" s="984"/>
      <c r="R53" s="162"/>
      <c r="S53" s="321">
        <f>SUM(S48:S52)</f>
        <v>685</v>
      </c>
      <c r="T53" s="321">
        <f>SUM(T48:T52)</f>
        <v>559</v>
      </c>
      <c r="U53" s="321">
        <f>SUM(U48:U52)</f>
        <v>570</v>
      </c>
      <c r="V53" s="321">
        <f>SUM(V48:V52)</f>
        <v>649</v>
      </c>
      <c r="W53" s="321">
        <f>SUM(W48:W52)</f>
        <v>523</v>
      </c>
      <c r="X53" s="322"/>
      <c r="Y53" s="322"/>
      <c r="Z53" s="334"/>
      <c r="AA53" s="322"/>
      <c r="AB53" s="323">
        <f>SUM(S53:W53)</f>
        <v>2986</v>
      </c>
      <c r="AC53" s="987"/>
      <c r="AF53" s="155">
        <f t="shared" si="8"/>
        <v>48</v>
      </c>
      <c r="AG53" s="166" t="str">
        <f>IF(AE6&lt;48,"",VLOOKUP(48,O6:AA65,4,FALSE))</f>
        <v>TÁBORSKÝ FRANTIŠEK</v>
      </c>
      <c r="AH53" s="155">
        <f>IF(AE6&lt;48,"",VLOOKUP(48,O6:AA65,10,FALSE))</f>
        <v>530</v>
      </c>
      <c r="AI53" s="8"/>
      <c r="AL53" s="981"/>
      <c r="AM53" s="984"/>
      <c r="AN53" s="172"/>
      <c r="AO53" s="341">
        <f>SUM(AO48:AO52)</f>
        <v>598</v>
      </c>
      <c r="AP53" s="339">
        <f>SUM(AP48:AP52)</f>
        <v>599</v>
      </c>
      <c r="AQ53" s="339">
        <f>SUM(AQ48:AQ52)</f>
        <v>594</v>
      </c>
      <c r="AR53" s="339">
        <f>SUM(AR48:AR52)</f>
        <v>567</v>
      </c>
      <c r="AS53" s="339">
        <f>SUM(AS48:AS52)</f>
        <v>639</v>
      </c>
      <c r="AT53" s="322"/>
      <c r="AU53" s="322"/>
      <c r="AV53" s="334"/>
      <c r="AW53" s="322"/>
      <c r="AX53" s="323">
        <f>SUM(AO53:AS53)</f>
        <v>2997</v>
      </c>
      <c r="AY53" s="987"/>
      <c r="BB53" s="155">
        <f t="shared" si="9"/>
        <v>48</v>
      </c>
      <c r="BC53" s="166" t="str">
        <f>IF(BA6&lt;48,"",VLOOKUP(48,AK6:AW65,4,FALSE))</f>
        <v>KŘIKAVA MIROSLAV</v>
      </c>
      <c r="BD53" s="155">
        <f>IF(BA6&lt;48,"",VLOOKUP(48,AK6:AW65,10,FALSE))</f>
        <v>548</v>
      </c>
      <c r="BE53" s="8"/>
      <c r="BH53" s="981"/>
      <c r="BI53" s="984"/>
      <c r="BJ53" s="172"/>
      <c r="BK53" s="341">
        <f>SUM(BK48:BK52)</f>
        <v>704</v>
      </c>
      <c r="BL53" s="339">
        <f>SUM(BL48:BL52)</f>
        <v>766</v>
      </c>
      <c r="BM53" s="339">
        <f>SUM(BM48:BM52)</f>
        <v>736</v>
      </c>
      <c r="BN53" s="339">
        <f>SUM(BN48:BN52)</f>
        <v>636</v>
      </c>
      <c r="BO53" s="339">
        <f>SUM(BO48:BO52)</f>
        <v>700</v>
      </c>
      <c r="BP53" s="322"/>
      <c r="BQ53" s="322"/>
      <c r="BR53" s="334"/>
      <c r="BS53" s="322"/>
      <c r="BT53" s="323">
        <f>SUM(BK53:BO53)</f>
        <v>3542</v>
      </c>
      <c r="BU53" s="163">
        <f>MAX(BK53:BO53)</f>
        <v>766</v>
      </c>
      <c r="BV53" s="163">
        <f>IF(BK48="","",SUM(BT53*10000)+BU53)</f>
        <v>35420766</v>
      </c>
      <c r="BW53" s="987"/>
      <c r="BZ53" s="155">
        <f t="shared" si="10"/>
        <v>48</v>
      </c>
      <c r="CA53" s="166" t="str">
        <f>IF(BY6&lt;48,"",VLOOKUP(48,BG6:BS65,4,FALSE))</f>
        <v>KOLLÁR PAVEL</v>
      </c>
      <c r="CB53" s="155">
        <f>IF(BY6&lt;48,"",VLOOKUP(48,BG6:BS65,10,FALSE))</f>
        <v>529</v>
      </c>
      <c r="CC53" s="8"/>
      <c r="CF53" s="981"/>
      <c r="CG53" s="984"/>
      <c r="CH53" s="172"/>
      <c r="CI53" s="341">
        <f>SUM(CI48:CI52)</f>
        <v>784</v>
      </c>
      <c r="CJ53" s="339">
        <f>SUM(CJ48:CJ52)</f>
        <v>897</v>
      </c>
      <c r="CK53" s="339">
        <f>SUM(CK48:CK52)</f>
        <v>746</v>
      </c>
      <c r="CL53" s="339">
        <f>SUM(CL48:CL52)</f>
        <v>833</v>
      </c>
      <c r="CM53" s="339">
        <f>SUM(CM48:CM52)</f>
        <v>785</v>
      </c>
      <c r="CN53" s="322"/>
      <c r="CO53" s="322"/>
      <c r="CP53" s="334"/>
      <c r="CQ53" s="322"/>
      <c r="CR53" s="323">
        <f>SUM(CI53:CM53)</f>
        <v>4045</v>
      </c>
      <c r="CS53" s="163">
        <f>MAX(CI53:CM53)</f>
        <v>897</v>
      </c>
      <c r="CT53" s="163">
        <f>IF(CI48="","",SUM(CR53*1000)+CS53)</f>
        <v>4045897</v>
      </c>
      <c r="CU53" s="987"/>
      <c r="CX53" s="155">
        <f t="shared" si="11"/>
        <v>48</v>
      </c>
      <c r="CY53" s="166" t="str">
        <f>IF(CW6&lt;48,"",VLOOKUP(48,CE6:CQ65,4,FALSE))</f>
        <v>BERGEROVÁ MARCELA</v>
      </c>
      <c r="CZ53" s="155">
        <f>IF(CW6&lt;48,"",VLOOKUP(48,CE6:CQ65,10,FALSE))</f>
        <v>511</v>
      </c>
      <c r="DA53" s="8"/>
      <c r="DD53" s="981"/>
      <c r="DE53" s="990"/>
      <c r="DF53" s="172"/>
      <c r="DG53" s="341">
        <f>SUM(DG48:DG52)</f>
        <v>559</v>
      </c>
      <c r="DH53" s="339">
        <f>SUM(DH48:DH52)</f>
        <v>552</v>
      </c>
      <c r="DI53" s="339">
        <f>SUM(DI48:DI52)</f>
        <v>634</v>
      </c>
      <c r="DJ53" s="339">
        <f>SUM(DJ48:DJ52)</f>
        <v>563</v>
      </c>
      <c r="DK53" s="339">
        <f>SUM(DK48:DK52)</f>
        <v>600</v>
      </c>
      <c r="DL53" s="322"/>
      <c r="DM53" s="322"/>
      <c r="DN53" s="334"/>
      <c r="DO53" s="322"/>
      <c r="DP53" s="323">
        <f>SUM(DG53:DK53)</f>
        <v>2908</v>
      </c>
      <c r="DQ53" s="163">
        <f>MAX(DG53:DK53)</f>
        <v>634</v>
      </c>
      <c r="DR53" s="163">
        <f>IF(DG48="","",SUM(DP53*1000)+DQ53)</f>
        <v>2908634</v>
      </c>
      <c r="DS53" s="987"/>
      <c r="DV53" s="155">
        <f t="shared" si="12"/>
        <v>48</v>
      </c>
      <c r="DW53" s="166" t="str">
        <f>IF(DU6&lt;48,"",VLOOKUP(48,DC6:DO65,4,FALSE))</f>
        <v>Fay Vlastimil</v>
      </c>
      <c r="DX53" s="155">
        <f>IF(DU6&lt;48,"",VLOOKUP(48,DC6:DO65,10,FALSE))</f>
        <v>539</v>
      </c>
      <c r="DY53" s="8"/>
      <c r="EB53" s="981"/>
      <c r="EC53" s="1004"/>
      <c r="ED53" s="172"/>
      <c r="EE53" s="321">
        <f>SUM(EE48:EE52)</f>
        <v>551</v>
      </c>
      <c r="EF53" s="321">
        <f>SUM(EF48:EF52)</f>
        <v>528</v>
      </c>
      <c r="EG53" s="321">
        <f>SUM(EG48:EG52)</f>
        <v>568</v>
      </c>
      <c r="EH53" s="321">
        <f>SUM(EH48:EH52)</f>
        <v>676</v>
      </c>
      <c r="EI53" s="321">
        <f>SUM(EI48:EI52)</f>
        <v>597</v>
      </c>
      <c r="EJ53" s="322"/>
      <c r="EK53" s="322"/>
      <c r="EL53" s="334"/>
      <c r="EM53" s="322"/>
      <c r="EN53" s="323">
        <f>SUM(EE53:EI53)</f>
        <v>2920</v>
      </c>
      <c r="EO53" s="163">
        <f>MAX(EE53:EI53)</f>
        <v>676</v>
      </c>
      <c r="EP53" s="163">
        <f>IF(EE48="","",SUM(EN53*1000)+EO53)</f>
        <v>2920676</v>
      </c>
      <c r="EQ53" s="993"/>
      <c r="ET53" s="155">
        <f t="shared" si="13"/>
        <v>48</v>
      </c>
      <c r="EU53" s="166" t="str">
        <f>IF(ES6&lt;48,"",VLOOKUP(48,EA6:EM65,4,FALSE))</f>
        <v>Čermák Tomáš</v>
      </c>
      <c r="EV53" s="155">
        <f>IF(ES6&lt;48,"",VLOOKUP(48,EA6:EM65,10,FALSE))</f>
        <v>585</v>
      </c>
      <c r="EW53" s="8"/>
      <c r="EX53" s="8"/>
      <c r="EZ53" s="1040"/>
      <c r="FA53" s="1036"/>
      <c r="FB53" s="747"/>
      <c r="FC53" s="748">
        <f>SUM(FC48:FC52)</f>
        <v>664</v>
      </c>
      <c r="FD53" s="749">
        <f>SUM(FD48:FD52)</f>
        <v>671</v>
      </c>
      <c r="FE53" s="748">
        <f>SUM(FE48:FE52)</f>
        <v>650</v>
      </c>
      <c r="FF53" s="748">
        <f>SUM(FF48:FF52)</f>
        <v>698</v>
      </c>
      <c r="FG53" s="749">
        <f>SUM(FG48:FG52)</f>
        <v>638</v>
      </c>
      <c r="FH53" s="750"/>
      <c r="FI53" s="751"/>
      <c r="FJ53" s="752"/>
      <c r="FK53" s="751"/>
      <c r="FL53" s="753">
        <f>SUM(FC53:FG53)</f>
        <v>3321</v>
      </c>
      <c r="FM53" s="743">
        <f>MAX(FC53:FG53)</f>
        <v>698</v>
      </c>
      <c r="FN53" s="743">
        <f>IF(FC48="","",SUM(FL53*1000)+FM53)</f>
        <v>3321698</v>
      </c>
      <c r="FO53" s="1037"/>
      <c r="FP53" s="8"/>
      <c r="FQ53" s="804"/>
      <c r="FR53" s="811">
        <f t="shared" si="14"/>
        <v>48</v>
      </c>
      <c r="FS53" s="809" t="str">
        <f>IF(FQ6&lt;48,"",VLOOKUP(48,EY6:FL65,4,FALSE))</f>
        <v>Lazurová Jiřina</v>
      </c>
      <c r="FT53" s="808">
        <f>IF(FQ6&lt;48,"",VLOOKUP(48,EY6:FL65,10,FALSE))</f>
        <v>551</v>
      </c>
      <c r="FU53" s="8"/>
      <c r="FX53" s="981"/>
      <c r="FY53" s="984"/>
      <c r="FZ53" s="172"/>
      <c r="GA53" s="341">
        <f>SUM(GA48:GA52)</f>
        <v>0</v>
      </c>
      <c r="GB53" s="339">
        <f>SUM(GB48:GB52)</f>
        <v>0</v>
      </c>
      <c r="GC53" s="339">
        <f>SUM(GC48:GC52)</f>
        <v>0</v>
      </c>
      <c r="GD53" s="339">
        <f>SUM(GD48:GD52)</f>
        <v>0</v>
      </c>
      <c r="GE53" s="339">
        <f>SUM(GE48:GE52)</f>
        <v>0</v>
      </c>
      <c r="GF53" s="322"/>
      <c r="GG53" s="322"/>
      <c r="GH53" s="334"/>
      <c r="GI53" s="322"/>
      <c r="GJ53" s="323">
        <f>SUM(GA53:GE53)</f>
        <v>0</v>
      </c>
      <c r="GK53" s="163">
        <f>MAX(GA53:GE53)</f>
        <v>0</v>
      </c>
      <c r="GL53" s="163" t="str">
        <f>IF(GA48="","",SUM(GJ53*1000)+GK53)</f>
        <v/>
      </c>
      <c r="GM53" s="987"/>
      <c r="GP53" s="155">
        <f t="shared" si="15"/>
        <v>48</v>
      </c>
      <c r="GQ53" s="166" t="str">
        <f>IF(GO6&lt;48,"",VLOOKUP(48,FW6:GI70,4,FALSE))</f>
        <v/>
      </c>
      <c r="GR53" s="155" t="str">
        <f>IF(GO6&lt;48,"",VLOOKUP(48,FW6:GI70,10,FALSE))</f>
        <v/>
      </c>
    </row>
    <row r="54" spans="15:200" ht="15" customHeight="1">
      <c r="O54">
        <f>IF(S54="","",AA54)</f>
        <v>8</v>
      </c>
      <c r="P54" s="995">
        <v>9</v>
      </c>
      <c r="Q54" s="982" t="s">
        <v>197</v>
      </c>
      <c r="R54" s="174" t="s">
        <v>198</v>
      </c>
      <c r="S54" s="324">
        <v>159</v>
      </c>
      <c r="T54" s="325">
        <v>144</v>
      </c>
      <c r="U54" s="325">
        <v>192</v>
      </c>
      <c r="V54" s="325">
        <v>162</v>
      </c>
      <c r="W54" s="325">
        <v>157</v>
      </c>
      <c r="X54" s="165">
        <f>SUM(S54:W54)</f>
        <v>814</v>
      </c>
      <c r="Y54" s="165">
        <f>MAX(S54:W54)</f>
        <v>192</v>
      </c>
      <c r="Z54" s="317">
        <f>SUM(X54*1000)+Y54+0.09</f>
        <v>814192.09</v>
      </c>
      <c r="AA54" s="318">
        <f>IF(S54="","",RANK(Z54,Z6:Z65,0))</f>
        <v>8</v>
      </c>
      <c r="AB54" s="165"/>
      <c r="AC54" s="1021">
        <f>RANK(AB59,AB11:AB65,0)</f>
        <v>4</v>
      </c>
      <c r="AF54" s="155">
        <f t="shared" si="8"/>
        <v>49</v>
      </c>
      <c r="AG54" s="166" t="str">
        <f>IF(AE6&lt;49,"",VLOOKUP(49,O6:AA65,4,FALSE))</f>
        <v>KALOŠOVÁ DAGMAR</v>
      </c>
      <c r="AH54" s="155">
        <f>IF(AE6&lt;49,"",VLOOKUP(49,O6:AA65,10,FALSE))</f>
        <v>496</v>
      </c>
      <c r="AI54" s="8"/>
      <c r="AK54">
        <f>IF(AO54="","",AW54)</f>
        <v>5</v>
      </c>
      <c r="AL54" s="995">
        <v>9</v>
      </c>
      <c r="AM54" s="982" t="s">
        <v>185</v>
      </c>
      <c r="AN54" s="247" t="s">
        <v>235</v>
      </c>
      <c r="AO54" s="338">
        <v>178</v>
      </c>
      <c r="AP54" s="316">
        <v>183</v>
      </c>
      <c r="AQ54" s="316">
        <v>170</v>
      </c>
      <c r="AR54" s="316">
        <v>189</v>
      </c>
      <c r="AS54" s="316">
        <v>171</v>
      </c>
      <c r="AT54" s="165">
        <f>SUM(AO54:AS54)</f>
        <v>891</v>
      </c>
      <c r="AU54" s="165">
        <f>MAX(AO54:AS54)</f>
        <v>189</v>
      </c>
      <c r="AV54" s="317">
        <f>SUM(AT54*1000)+AU54+0.09</f>
        <v>891189.09</v>
      </c>
      <c r="AW54" s="318">
        <f>IF(AO54="","",RANK(AV54,AV6:AV65,0))</f>
        <v>5</v>
      </c>
      <c r="AX54" s="165"/>
      <c r="AY54" s="1021">
        <f>RANK(AX59,AX11:AX65,0)</f>
        <v>1</v>
      </c>
      <c r="BB54" s="155">
        <f t="shared" si="9"/>
        <v>49</v>
      </c>
      <c r="BC54" s="166" t="str">
        <f>IF(BA6&lt;49,"",VLOOKUP(49,AK6:AW65,4,FALSE))</f>
        <v>BERGEROVÁ MARCELA</v>
      </c>
      <c r="BD54" s="155">
        <f>IF(BA6&lt;49,"",VLOOKUP(49,AK6:AW65,10,FALSE))</f>
        <v>504</v>
      </c>
      <c r="BE54" s="8"/>
      <c r="BG54">
        <f>IF(BK54="","",BS54)</f>
        <v>38</v>
      </c>
      <c r="BH54" s="995">
        <v>9</v>
      </c>
      <c r="BI54" s="982" t="s">
        <v>173</v>
      </c>
      <c r="BJ54" s="262" t="s">
        <v>182</v>
      </c>
      <c r="BK54" s="342">
        <v>121</v>
      </c>
      <c r="BL54" s="343">
        <v>141</v>
      </c>
      <c r="BM54" s="343">
        <v>112</v>
      </c>
      <c r="BN54" s="343">
        <v>150</v>
      </c>
      <c r="BO54" s="343">
        <v>107</v>
      </c>
      <c r="BP54" s="165">
        <f>SUM(BK54:BO54)</f>
        <v>631</v>
      </c>
      <c r="BQ54" s="165">
        <f>MAX(BK54:BO54)</f>
        <v>150</v>
      </c>
      <c r="BR54" s="317">
        <f>SUM(BP54*1000)+BQ54+0.09</f>
        <v>631150.09</v>
      </c>
      <c r="BS54" s="318">
        <f>IF(BK54="","",RANK(BR54,BR6:BR65,0))</f>
        <v>38</v>
      </c>
      <c r="BT54" s="165"/>
      <c r="BU54" s="249"/>
      <c r="BV54" s="249"/>
      <c r="BW54" s="1021">
        <f>IF(BK54="","",RANK(BV59,BV11:BV65,0))</f>
        <v>4</v>
      </c>
      <c r="BZ54" s="155">
        <f t="shared" si="10"/>
        <v>49</v>
      </c>
      <c r="CA54" s="166" t="str">
        <f>IF(BY6&lt;49,"",VLOOKUP(49,BG6:BS65,4,FALSE))</f>
        <v>VYCHNEROVÁ MICHALA</v>
      </c>
      <c r="CB54" s="155">
        <f>IF(BY6&lt;49,"",VLOOKUP(49,BG6:BS65,10,FALSE))</f>
        <v>508</v>
      </c>
      <c r="CC54" s="8"/>
      <c r="CE54">
        <f>IF(CI54="","",CQ54)</f>
        <v>17</v>
      </c>
      <c r="CF54" s="995">
        <v>9</v>
      </c>
      <c r="CG54" s="982" t="s">
        <v>160</v>
      </c>
      <c r="CH54" s="287" t="s">
        <v>161</v>
      </c>
      <c r="CI54" s="324">
        <v>125</v>
      </c>
      <c r="CJ54" s="324">
        <v>105</v>
      </c>
      <c r="CK54" s="324">
        <v>179</v>
      </c>
      <c r="CL54" s="324">
        <v>164</v>
      </c>
      <c r="CM54" s="324">
        <v>152</v>
      </c>
      <c r="CN54" s="165">
        <f>SUM(CI54:CM54)</f>
        <v>725</v>
      </c>
      <c r="CO54" s="165">
        <f>MAX(CI54:CM54)</f>
        <v>179</v>
      </c>
      <c r="CP54" s="317">
        <f>SUM(CN54*1000)+CO54+0.09</f>
        <v>725179.09</v>
      </c>
      <c r="CQ54" s="318">
        <f>IF(CI54="","",RANK(CP54,CP6:CP65,0))</f>
        <v>17</v>
      </c>
      <c r="CR54" s="165"/>
      <c r="CS54" s="249"/>
      <c r="CT54" s="249"/>
      <c r="CU54" s="1021">
        <f>IF(CI54="","",RANK(CT59,CT11:CT65,0))</f>
        <v>3</v>
      </c>
      <c r="CX54" s="155">
        <f t="shared" si="11"/>
        <v>49</v>
      </c>
      <c r="CY54" s="166" t="str">
        <f>IF(CW6&lt;49,"",VLOOKUP(49,CE6:CQ65,4,FALSE))</f>
        <v>SVÍTIL PAVEL</v>
      </c>
      <c r="CZ54" s="155">
        <f>IF(CW6&lt;49,"",VLOOKUP(49,CE6:CQ65,10,FALSE))</f>
        <v>490</v>
      </c>
      <c r="DA54" s="8"/>
      <c r="DC54">
        <f>IF(DG54="","",DO54)</f>
        <v>4</v>
      </c>
      <c r="DD54" s="995">
        <v>9</v>
      </c>
      <c r="DE54" s="988" t="s">
        <v>138</v>
      </c>
      <c r="DF54" s="157" t="s">
        <v>27</v>
      </c>
      <c r="DG54" s="346">
        <v>187</v>
      </c>
      <c r="DH54" s="346">
        <v>148</v>
      </c>
      <c r="DI54" s="346">
        <v>161</v>
      </c>
      <c r="DJ54" s="346">
        <v>204</v>
      </c>
      <c r="DK54" s="346">
        <v>154</v>
      </c>
      <c r="DL54" s="165">
        <f>SUM(DG54:DK54)</f>
        <v>854</v>
      </c>
      <c r="DM54" s="165">
        <f>MAX(DG54:DK54)</f>
        <v>204</v>
      </c>
      <c r="DN54" s="317">
        <f>SUM(DL54*1000)+DM54+0.09</f>
        <v>854204.09</v>
      </c>
      <c r="DO54" s="318">
        <f>IF(DG54="","",RANK(DN54,DN6:DN65,0))</f>
        <v>4</v>
      </c>
      <c r="DP54" s="165"/>
      <c r="DQ54" s="249"/>
      <c r="DR54" s="249"/>
      <c r="DS54" s="1021">
        <f>IF(DG54="","",RANK(DR59,DR11:DR65,0))</f>
        <v>5</v>
      </c>
      <c r="DV54" s="155">
        <f t="shared" si="12"/>
        <v>49</v>
      </c>
      <c r="DW54" s="166" t="str">
        <f>IF(DU6&lt;49,"",VLOOKUP(49,DC6:DO65,4,FALSE))</f>
        <v>Dvořák Petr</v>
      </c>
      <c r="DX54" s="155">
        <f>IF(DU6&lt;49,"",VLOOKUP(49,DC6:DO65,10,FALSE))</f>
        <v>524</v>
      </c>
      <c r="DY54" s="8"/>
      <c r="EA54">
        <f>IF(EE54="","",EM54)</f>
        <v>6</v>
      </c>
      <c r="EB54" s="995">
        <v>9</v>
      </c>
      <c r="EC54" s="1005" t="s">
        <v>197</v>
      </c>
      <c r="ED54" s="647" t="s">
        <v>68</v>
      </c>
      <c r="EE54" s="643">
        <v>174</v>
      </c>
      <c r="EF54" s="644">
        <v>172</v>
      </c>
      <c r="EG54" s="644">
        <v>155</v>
      </c>
      <c r="EH54" s="644">
        <v>212</v>
      </c>
      <c r="EI54" s="644">
        <v>141</v>
      </c>
      <c r="EJ54" s="648">
        <f>SUM(EE54:EI54)</f>
        <v>854</v>
      </c>
      <c r="EK54" s="165">
        <f>MAX(EE54:EI54)</f>
        <v>212</v>
      </c>
      <c r="EL54" s="317">
        <f>SUM(EJ54*1000)+EK54+0.09</f>
        <v>854212.09</v>
      </c>
      <c r="EM54" s="318">
        <f>IF(EE54="","",RANK(EL54,EL6:EL65,0))</f>
        <v>6</v>
      </c>
      <c r="EN54" s="165"/>
      <c r="EO54" s="249"/>
      <c r="EP54" s="249"/>
      <c r="EQ54" s="1024">
        <f>IF(EE54="","",RANK(EP59,EP11:EP65,0))</f>
        <v>2</v>
      </c>
      <c r="ET54" s="155">
        <f t="shared" si="13"/>
        <v>49</v>
      </c>
      <c r="EU54" s="166" t="str">
        <f>IF(ES6&lt;49,"",VLOOKUP(49,EA6:EM65,4,FALSE))</f>
        <v>Pipek Pavel</v>
      </c>
      <c r="EV54" s="155">
        <f>IF(ES6&lt;49,"",VLOOKUP(49,EA6:EM65,10,FALSE))</f>
        <v>538</v>
      </c>
      <c r="EW54" s="8"/>
      <c r="EX54" s="8"/>
      <c r="EY54">
        <f>IF(FC54="","",FK54)</f>
        <v>4</v>
      </c>
      <c r="EZ54" s="1069">
        <v>9</v>
      </c>
      <c r="FA54" s="1072" t="s">
        <v>185</v>
      </c>
      <c r="FB54" s="791" t="s">
        <v>96</v>
      </c>
      <c r="FC54" s="795">
        <v>180</v>
      </c>
      <c r="FD54" s="795">
        <v>179</v>
      </c>
      <c r="FE54" s="795">
        <v>167</v>
      </c>
      <c r="FF54" s="795">
        <v>144</v>
      </c>
      <c r="FG54" s="795">
        <v>190</v>
      </c>
      <c r="FH54" s="725">
        <f>SUM(FC54:FG54)</f>
        <v>860</v>
      </c>
      <c r="FI54" s="725">
        <f>MAX(FC54:FG54)</f>
        <v>190</v>
      </c>
      <c r="FJ54" s="726">
        <f>SUM(FH54*1000)+FI54+0.09</f>
        <v>860190.09</v>
      </c>
      <c r="FK54" s="727">
        <f>IF(FC54="","",RANK(FJ54,FJ6:FJ65,0))</f>
        <v>4</v>
      </c>
      <c r="FL54" s="725"/>
      <c r="FM54" s="249"/>
      <c r="FN54" s="249"/>
      <c r="FO54" s="1041">
        <f>IF(FC54="","",RANK(FN59,FN11:FN65,0))</f>
        <v>4</v>
      </c>
      <c r="FP54" s="8"/>
      <c r="FQ54" s="804"/>
      <c r="FR54" s="811">
        <f t="shared" si="14"/>
        <v>49</v>
      </c>
      <c r="FS54" s="809" t="str">
        <f>IF(FQ6&lt;49,"",VLOOKUP(49,EY6:FL65,4,FALSE))</f>
        <v>Táborský František</v>
      </c>
      <c r="FT54" s="808">
        <f>IF(FQ6&lt;49,"",VLOOKUP(49,EY6:FL65,10,FALSE))</f>
        <v>544</v>
      </c>
      <c r="FU54" s="8"/>
      <c r="FW54" t="str">
        <f>IF(GA54="","",GI54)</f>
        <v/>
      </c>
      <c r="FX54" s="995">
        <v>9</v>
      </c>
      <c r="FY54" s="982" t="s">
        <v>197</v>
      </c>
      <c r="FZ54" s="157"/>
      <c r="GA54" s="346"/>
      <c r="GB54" s="346"/>
      <c r="GC54" s="346"/>
      <c r="GD54" s="346"/>
      <c r="GE54" s="346"/>
      <c r="GF54" s="165">
        <f>SUM(GA54:GE54)</f>
        <v>0</v>
      </c>
      <c r="GG54" s="165">
        <f>MAX(GA54:GE54)</f>
        <v>0</v>
      </c>
      <c r="GH54" s="317">
        <f>SUM(GF54*1000)+GG54+0.09</f>
        <v>0.09</v>
      </c>
      <c r="GI54" s="318" t="str">
        <f>IF(GA54="","",RANK(GH54,GH6:GH70,0))</f>
        <v/>
      </c>
      <c r="GJ54" s="165"/>
      <c r="GK54" s="249"/>
      <c r="GL54" s="249"/>
      <c r="GM54" s="1021" t="str">
        <f>IF(GA54="","",RANK(GL59,GL11:GL71,0))</f>
        <v/>
      </c>
      <c r="GP54" s="155">
        <f t="shared" si="15"/>
        <v>49</v>
      </c>
      <c r="GQ54" s="166" t="str">
        <f>IF(GO6&lt;49,"",VLOOKUP(49,FW6:GI70,4,FALSE))</f>
        <v/>
      </c>
      <c r="GR54" s="155" t="str">
        <f>IF(GO6&lt;49,"",VLOOKUP(49,FW6:GI70,10,FALSE))</f>
        <v/>
      </c>
    </row>
    <row r="55" spans="15:200" ht="15" customHeight="1">
      <c r="O55">
        <f>IF(S55="","",AA55)</f>
        <v>4</v>
      </c>
      <c r="P55" s="980"/>
      <c r="Q55" s="983"/>
      <c r="R55" s="170" t="s">
        <v>199</v>
      </c>
      <c r="S55" s="327">
        <v>178</v>
      </c>
      <c r="T55" s="319">
        <v>170</v>
      </c>
      <c r="U55" s="319">
        <v>148</v>
      </c>
      <c r="V55" s="319">
        <v>175</v>
      </c>
      <c r="W55" s="319">
        <v>189</v>
      </c>
      <c r="X55" s="159">
        <f>SUM(S55:W55)</f>
        <v>860</v>
      </c>
      <c r="Y55" s="165">
        <f>MAX(S55:W55)</f>
        <v>189</v>
      </c>
      <c r="Z55" s="317">
        <f>SUM(X55*1000)+Y55+0.08</f>
        <v>860189.08</v>
      </c>
      <c r="AA55" s="320">
        <f>IF(S55="","",RANK(Z55,Z6:Z65,0))</f>
        <v>4</v>
      </c>
      <c r="AB55" s="161"/>
      <c r="AC55" s="1022"/>
      <c r="AF55" s="155">
        <f t="shared" si="8"/>
        <v>50</v>
      </c>
      <c r="AG55" s="166" t="str">
        <f>IF(AE6&lt;50,"",VLOOKUP(50,O6:AA65,4,FALSE))</f>
        <v>KUTINA PAVEL</v>
      </c>
      <c r="AH55" s="155">
        <f>IF(AE6&lt;50,"",VLOOKUP(50,O6:AA65,10,FALSE))</f>
        <v>473</v>
      </c>
      <c r="AI55" s="8"/>
      <c r="AK55">
        <f>IF(AO55="","",AW55)</f>
        <v>14</v>
      </c>
      <c r="AL55" s="980"/>
      <c r="AM55" s="983"/>
      <c r="AN55" s="238" t="s">
        <v>188</v>
      </c>
      <c r="AO55" s="327">
        <v>139</v>
      </c>
      <c r="AP55" s="319">
        <v>182</v>
      </c>
      <c r="AQ55" s="319">
        <v>152</v>
      </c>
      <c r="AR55" s="319">
        <v>161</v>
      </c>
      <c r="AS55" s="319">
        <v>156</v>
      </c>
      <c r="AT55" s="159">
        <f>SUM(AO55:AS55)</f>
        <v>790</v>
      </c>
      <c r="AU55" s="165">
        <f>MAX(AO55:AS55)</f>
        <v>182</v>
      </c>
      <c r="AV55" s="317">
        <f>SUM(AT55*1000)+AU55+0.08</f>
        <v>790182.08</v>
      </c>
      <c r="AW55" s="320">
        <f>IF(AO55="","",RANK(AV55,AV6:AV65,0))</f>
        <v>14</v>
      </c>
      <c r="AX55" s="161"/>
      <c r="AY55" s="1022"/>
      <c r="BB55" s="155">
        <f t="shared" si="9"/>
        <v>50</v>
      </c>
      <c r="BC55" s="166" t="str">
        <f>IF(BA6&lt;50,"",VLOOKUP(50,AK6:AW65,4,FALSE))</f>
        <v>KALOŠOVÁ DAGMAR</v>
      </c>
      <c r="BD55" s="155">
        <f>IF(BA6&lt;50,"",VLOOKUP(50,AK6:AW65,10,FALSE))</f>
        <v>498</v>
      </c>
      <c r="BE55" s="8"/>
      <c r="BG55">
        <f>IF(BK55="","",BS55)</f>
        <v>48</v>
      </c>
      <c r="BH55" s="980"/>
      <c r="BI55" s="983"/>
      <c r="BJ55" s="260" t="s">
        <v>184</v>
      </c>
      <c r="BK55" s="344">
        <v>99</v>
      </c>
      <c r="BL55" s="345">
        <v>115</v>
      </c>
      <c r="BM55" s="345">
        <v>99</v>
      </c>
      <c r="BN55" s="345">
        <v>97</v>
      </c>
      <c r="BO55" s="345">
        <v>119</v>
      </c>
      <c r="BP55" s="159">
        <f>SUM(BK55:BO55)</f>
        <v>529</v>
      </c>
      <c r="BQ55" s="165">
        <f>MAX(BK55:BO55)</f>
        <v>119</v>
      </c>
      <c r="BR55" s="317">
        <f>SUM(BP55*1000)+BQ55+0.08</f>
        <v>529119.07999999996</v>
      </c>
      <c r="BS55" s="320">
        <f>IF(BK55="","",RANK(BR55,BR6:BR65,0))</f>
        <v>48</v>
      </c>
      <c r="BT55" s="161"/>
      <c r="BU55" s="251"/>
      <c r="BV55" s="251"/>
      <c r="BW55" s="1022"/>
      <c r="BZ55" s="155">
        <f t="shared" si="10"/>
        <v>50</v>
      </c>
      <c r="CA55" s="166" t="str">
        <f>IF(BY6&lt;50,"",VLOOKUP(50,BG6:BS65,4,FALSE))</f>
        <v>SVÍTIL PAVEL</v>
      </c>
      <c r="CB55" s="155">
        <f>IF(BY6&lt;50,"",VLOOKUP(50,BG6:BS65,10,FALSE))</f>
        <v>480</v>
      </c>
      <c r="CC55" s="8"/>
      <c r="CE55">
        <f>IF(CI55="","",CQ55)</f>
        <v>20</v>
      </c>
      <c r="CF55" s="980"/>
      <c r="CG55" s="983"/>
      <c r="CH55" s="288" t="s">
        <v>162</v>
      </c>
      <c r="CI55" s="327">
        <v>132</v>
      </c>
      <c r="CJ55" s="327">
        <v>157</v>
      </c>
      <c r="CK55" s="327">
        <v>137</v>
      </c>
      <c r="CL55" s="327">
        <v>166</v>
      </c>
      <c r="CM55" s="327">
        <v>131</v>
      </c>
      <c r="CN55" s="159">
        <f>SUM(CI55:CM55)</f>
        <v>723</v>
      </c>
      <c r="CO55" s="165">
        <f>MAX(CI55:CM55)</f>
        <v>166</v>
      </c>
      <c r="CP55" s="317">
        <f>SUM(CN55*1000)+CO55+0.08</f>
        <v>723166.08</v>
      </c>
      <c r="CQ55" s="320">
        <f>IF(CI55="","",RANK(CP55,CP6:CP65,0))</f>
        <v>20</v>
      </c>
      <c r="CR55" s="161"/>
      <c r="CS55" s="251"/>
      <c r="CT55" s="251"/>
      <c r="CU55" s="1022"/>
      <c r="CX55" s="155">
        <f t="shared" si="11"/>
        <v>50</v>
      </c>
      <c r="CY55" s="166" t="str">
        <f>IF(CW6&lt;50,"",VLOOKUP(50,CE6:CQ65,4,FALSE))</f>
        <v>ŠTARKOVÁ TEREZA</v>
      </c>
      <c r="CZ55" s="155">
        <f>IF(CW6&lt;50,"",VLOOKUP(50,CE6:CQ65,10,FALSE))</f>
        <v>487</v>
      </c>
      <c r="DA55" s="8"/>
      <c r="DC55">
        <f>IF(DG55="","",DO55)</f>
        <v>35</v>
      </c>
      <c r="DD55" s="980"/>
      <c r="DE55" s="989"/>
      <c r="DF55" s="160" t="s">
        <v>225</v>
      </c>
      <c r="DG55" s="347">
        <v>126</v>
      </c>
      <c r="DH55" s="347">
        <v>149</v>
      </c>
      <c r="DI55" s="347">
        <v>102</v>
      </c>
      <c r="DJ55" s="347">
        <v>161</v>
      </c>
      <c r="DK55" s="347">
        <v>130</v>
      </c>
      <c r="DL55" s="159">
        <f>SUM(DG55:DK55)</f>
        <v>668</v>
      </c>
      <c r="DM55" s="165">
        <f>MAX(DG55:DK55)</f>
        <v>161</v>
      </c>
      <c r="DN55" s="317">
        <f>SUM(DL55*1000)+DM55+0.08</f>
        <v>668161.07999999996</v>
      </c>
      <c r="DO55" s="320">
        <f>IF(DG55="","",RANK(DN55,DN6:DN65,0))</f>
        <v>35</v>
      </c>
      <c r="DP55" s="161"/>
      <c r="DQ55" s="251"/>
      <c r="DR55" s="251"/>
      <c r="DS55" s="1022"/>
      <c r="DV55" s="155">
        <f t="shared" si="12"/>
        <v>50</v>
      </c>
      <c r="DW55" s="166" t="str">
        <f>IF(DU6&lt;50,"",VLOOKUP(50,DC6:DO65,4,FALSE))</f>
        <v>Šafrová Martina</v>
      </c>
      <c r="DX55" s="155">
        <f>IF(DU6&lt;50,"",VLOOKUP(50,DC6:DO65,10,FALSE))</f>
        <v>518</v>
      </c>
      <c r="DY55" s="8"/>
      <c r="EA55">
        <f>IF(EE55="","",EM55)</f>
        <v>20</v>
      </c>
      <c r="EB55" s="980"/>
      <c r="EC55" s="1003"/>
      <c r="ED55" s="627" t="s">
        <v>124</v>
      </c>
      <c r="EE55" s="645">
        <v>119</v>
      </c>
      <c r="EF55" s="646">
        <v>122</v>
      </c>
      <c r="EG55" s="646">
        <v>136</v>
      </c>
      <c r="EH55" s="646">
        <v>157</v>
      </c>
      <c r="EI55" s="646">
        <v>182</v>
      </c>
      <c r="EJ55" s="649">
        <f>SUM(EE55:EI55)</f>
        <v>716</v>
      </c>
      <c r="EK55" s="165">
        <f>MAX(EE55:EI55)</f>
        <v>182</v>
      </c>
      <c r="EL55" s="317">
        <f>SUM(EJ55*1000)+EK55+0.08</f>
        <v>716182.08</v>
      </c>
      <c r="EM55" s="320">
        <f>IF(EE55="","",RANK(EL55,EL6:EL65,0))</f>
        <v>20</v>
      </c>
      <c r="EN55" s="161"/>
      <c r="EO55" s="251"/>
      <c r="EP55" s="251"/>
      <c r="EQ55" s="1025"/>
      <c r="ET55" s="155">
        <f t="shared" si="13"/>
        <v>50</v>
      </c>
      <c r="EU55" s="166" t="str">
        <f>IF(ES6&lt;50,"",VLOOKUP(50,EA6:EM65,4,FALSE))</f>
        <v>Hyková Lucie</v>
      </c>
      <c r="EV55" s="155">
        <f>IF(ES6&lt;50,"",VLOOKUP(50,EA6:EM65,10,FALSE))</f>
        <v>333</v>
      </c>
      <c r="EW55" s="8"/>
      <c r="EX55" s="8"/>
      <c r="EY55">
        <f>IF(FC55="","",FK55)</f>
        <v>16</v>
      </c>
      <c r="EZ55" s="1070"/>
      <c r="FA55" s="1073"/>
      <c r="FB55" s="792" t="s">
        <v>298</v>
      </c>
      <c r="FC55" s="728">
        <v>145</v>
      </c>
      <c r="FD55" s="728">
        <v>150</v>
      </c>
      <c r="FE55" s="728">
        <v>152</v>
      </c>
      <c r="FF55" s="728">
        <v>155</v>
      </c>
      <c r="FG55" s="728">
        <v>164</v>
      </c>
      <c r="FH55" s="729">
        <f>SUM(FC55:FG55)</f>
        <v>766</v>
      </c>
      <c r="FI55" s="725">
        <f>MAX(FC55:FG55)</f>
        <v>164</v>
      </c>
      <c r="FJ55" s="726">
        <f>SUM(FH55*1000)+FI55+0.08</f>
        <v>766164.08</v>
      </c>
      <c r="FK55" s="730">
        <f>IF(FC55="","",RANK(FJ55,FJ6:FJ65,0))</f>
        <v>16</v>
      </c>
      <c r="FL55" s="731"/>
      <c r="FM55" s="251"/>
      <c r="FN55" s="251"/>
      <c r="FO55" s="1041"/>
      <c r="FP55" s="8"/>
      <c r="FQ55" s="804"/>
      <c r="FR55" s="811">
        <f t="shared" si="14"/>
        <v>50</v>
      </c>
      <c r="FS55" s="809" t="str">
        <f>IF(FQ6&lt;50,"",VLOOKUP(50,EY6:FL65,4,FALSE))</f>
        <v>Hyková Lucie</v>
      </c>
      <c r="FT55" s="808">
        <f>IF(FQ6&lt;50,"",VLOOKUP(50,EY6:FL65,10,FALSE))</f>
        <v>400</v>
      </c>
      <c r="FU55" s="8"/>
      <c r="FW55" t="str">
        <f>IF(GA55="","",GI55)</f>
        <v/>
      </c>
      <c r="FX55" s="980"/>
      <c r="FY55" s="983"/>
      <c r="FZ55" s="160"/>
      <c r="GA55" s="347"/>
      <c r="GB55" s="347"/>
      <c r="GC55" s="347"/>
      <c r="GD55" s="347"/>
      <c r="GE55" s="347"/>
      <c r="GF55" s="159">
        <f>SUM(GA55:GE55)</f>
        <v>0</v>
      </c>
      <c r="GG55" s="165">
        <f>MAX(GA55:GE55)</f>
        <v>0</v>
      </c>
      <c r="GH55" s="317">
        <f>SUM(GF55*1000)+GG55+0.08</f>
        <v>0.08</v>
      </c>
      <c r="GI55" s="320" t="str">
        <f>IF(GA55="","",RANK(GH55,GH6:GH70,0))</f>
        <v/>
      </c>
      <c r="GJ55" s="161"/>
      <c r="GK55" s="251"/>
      <c r="GL55" s="251"/>
      <c r="GM55" s="1022"/>
      <c r="GP55" s="155">
        <f t="shared" si="15"/>
        <v>50</v>
      </c>
      <c r="GQ55" s="166" t="str">
        <f>IF(GO6&lt;50,"",VLOOKUP(50,FW6:GI70,4,FALSE))</f>
        <v/>
      </c>
      <c r="GR55" s="155" t="str">
        <f>IF(GO6&lt;50,"",VLOOKUP(50,FW6:GI70,10,FALSE))</f>
        <v/>
      </c>
    </row>
    <row r="56" spans="15:200" ht="15" customHeight="1">
      <c r="O56">
        <f>IF(S56="","",AA56)</f>
        <v>25</v>
      </c>
      <c r="P56" s="980"/>
      <c r="Q56" s="983"/>
      <c r="R56" s="158" t="s">
        <v>200</v>
      </c>
      <c r="S56" s="327">
        <v>133</v>
      </c>
      <c r="T56" s="319">
        <v>166</v>
      </c>
      <c r="U56" s="319">
        <v>140</v>
      </c>
      <c r="V56" s="319">
        <v>139</v>
      </c>
      <c r="W56" s="319">
        <v>102</v>
      </c>
      <c r="X56" s="159">
        <f>SUM(S56:W56)</f>
        <v>680</v>
      </c>
      <c r="Y56" s="165">
        <f>MAX(S56:W56)</f>
        <v>166</v>
      </c>
      <c r="Z56" s="317">
        <f>SUM(X56*1000)+Y56+0.07</f>
        <v>680166.07</v>
      </c>
      <c r="AA56" s="320">
        <f>IF(S56="","",RANK(Z56,Z6:Z65,0))</f>
        <v>25</v>
      </c>
      <c r="AB56" s="161"/>
      <c r="AC56" s="1022"/>
      <c r="AK56">
        <f>IF(AO56="","",AW56)</f>
        <v>18</v>
      </c>
      <c r="AL56" s="980"/>
      <c r="AM56" s="983"/>
      <c r="AN56" s="237" t="s">
        <v>189</v>
      </c>
      <c r="AO56" s="327">
        <v>110</v>
      </c>
      <c r="AP56" s="319">
        <v>145</v>
      </c>
      <c r="AQ56" s="319">
        <v>186</v>
      </c>
      <c r="AR56" s="319">
        <v>146</v>
      </c>
      <c r="AS56" s="319">
        <v>151</v>
      </c>
      <c r="AT56" s="159">
        <f>SUM(AO56:AS56)</f>
        <v>738</v>
      </c>
      <c r="AU56" s="165">
        <f>MAX(AO56:AS56)</f>
        <v>186</v>
      </c>
      <c r="AV56" s="317">
        <f>SUM(AT56*1000)+AU56+0.07</f>
        <v>738186.07</v>
      </c>
      <c r="AW56" s="320">
        <f>IF(AO56="","",RANK(AV56,AV6:AV65,0))</f>
        <v>18</v>
      </c>
      <c r="AX56" s="161"/>
      <c r="AY56" s="1022"/>
      <c r="BD56" s="1"/>
      <c r="BE56" s="1"/>
      <c r="BG56">
        <f>IF(BK56="","",BS56)</f>
        <v>14</v>
      </c>
      <c r="BH56" s="980"/>
      <c r="BI56" s="983"/>
      <c r="BJ56" s="257" t="s">
        <v>175</v>
      </c>
      <c r="BK56" s="344">
        <v>156</v>
      </c>
      <c r="BL56" s="345">
        <v>104</v>
      </c>
      <c r="BM56" s="345">
        <v>160</v>
      </c>
      <c r="BN56" s="345">
        <v>190</v>
      </c>
      <c r="BO56" s="345">
        <v>160</v>
      </c>
      <c r="BP56" s="159">
        <f>SUM(BK56:BO56)</f>
        <v>770</v>
      </c>
      <c r="BQ56" s="165">
        <f>MAX(BK56:BO56)</f>
        <v>190</v>
      </c>
      <c r="BR56" s="317">
        <f>SUM(BP56*1000)+BQ56+0.07</f>
        <v>770190.07</v>
      </c>
      <c r="BS56" s="320">
        <f>IF(BK56="","",RANK(BR56,BR6:BR65,0))</f>
        <v>14</v>
      </c>
      <c r="BT56" s="161"/>
      <c r="BU56" s="251"/>
      <c r="BV56" s="251"/>
      <c r="BW56" s="1022"/>
      <c r="CB56" s="1"/>
      <c r="CC56" s="1"/>
      <c r="CE56">
        <f>IF(CI56="","",CQ56)</f>
        <v>30</v>
      </c>
      <c r="CF56" s="980"/>
      <c r="CG56" s="983"/>
      <c r="CH56" s="289" t="s">
        <v>163</v>
      </c>
      <c r="CI56" s="327">
        <v>118</v>
      </c>
      <c r="CJ56" s="327">
        <v>139</v>
      </c>
      <c r="CK56" s="327">
        <v>133</v>
      </c>
      <c r="CL56" s="327">
        <v>147</v>
      </c>
      <c r="CM56" s="327">
        <v>127</v>
      </c>
      <c r="CN56" s="159">
        <f>SUM(CI56:CM56)</f>
        <v>664</v>
      </c>
      <c r="CO56" s="165">
        <f>MAX(CI56:CM56)</f>
        <v>147</v>
      </c>
      <c r="CP56" s="317">
        <f>SUM(CN56*1000)+CO56+0.07</f>
        <v>664147.06999999995</v>
      </c>
      <c r="CQ56" s="320">
        <f>IF(CI56="","",RANK(CP56,CP6:CP65,0))</f>
        <v>30</v>
      </c>
      <c r="CR56" s="161"/>
      <c r="CS56" s="251"/>
      <c r="CT56" s="251"/>
      <c r="CU56" s="1022"/>
      <c r="CZ56" s="1"/>
      <c r="DA56" s="1"/>
      <c r="DC56">
        <f>IF(DG56="","",DO56)</f>
        <v>49</v>
      </c>
      <c r="DD56" s="980"/>
      <c r="DE56" s="989"/>
      <c r="DF56" s="160" t="s">
        <v>283</v>
      </c>
      <c r="DG56" s="347">
        <v>140</v>
      </c>
      <c r="DH56" s="347">
        <v>112</v>
      </c>
      <c r="DI56" s="347">
        <v>100</v>
      </c>
      <c r="DJ56" s="347">
        <v>79</v>
      </c>
      <c r="DK56" s="347">
        <v>93</v>
      </c>
      <c r="DL56" s="159">
        <f>SUM(DG56:DK56)</f>
        <v>524</v>
      </c>
      <c r="DM56" s="165">
        <f>MAX(DG56:DK56)</f>
        <v>140</v>
      </c>
      <c r="DN56" s="317">
        <f>SUM(DL56*1000)+DM56+0.07</f>
        <v>524140.07</v>
      </c>
      <c r="DO56" s="320">
        <f>IF(DG56="","",RANK(DN56,DN6:DN65,0))</f>
        <v>49</v>
      </c>
      <c r="DP56" s="161"/>
      <c r="DQ56" s="251"/>
      <c r="DR56" s="251"/>
      <c r="DS56" s="1022"/>
      <c r="DX56" s="1"/>
      <c r="DY56" s="1"/>
      <c r="EA56">
        <f>IF(EE56="","",EM56)</f>
        <v>21</v>
      </c>
      <c r="EB56" s="980"/>
      <c r="EC56" s="1003"/>
      <c r="ED56" s="627" t="s">
        <v>28</v>
      </c>
      <c r="EE56" s="645">
        <v>156</v>
      </c>
      <c r="EF56" s="646">
        <v>177</v>
      </c>
      <c r="EG56" s="646">
        <v>120</v>
      </c>
      <c r="EH56" s="646">
        <v>127</v>
      </c>
      <c r="EI56" s="646">
        <v>121</v>
      </c>
      <c r="EJ56" s="649">
        <f>SUM(EE56:EI56)</f>
        <v>701</v>
      </c>
      <c r="EK56" s="165">
        <f>MAX(EE56:EI56)</f>
        <v>177</v>
      </c>
      <c r="EL56" s="317">
        <f>SUM(EJ56*1000)+EK56+0.07</f>
        <v>701177.07</v>
      </c>
      <c r="EM56" s="320">
        <f>IF(EE56="","",RANK(EL56,EL6:EL65,0))</f>
        <v>21</v>
      </c>
      <c r="EN56" s="161"/>
      <c r="EO56" s="251"/>
      <c r="EP56" s="251"/>
      <c r="EQ56" s="1025"/>
      <c r="EV56" s="1"/>
      <c r="EW56" s="1"/>
      <c r="EX56" s="1"/>
      <c r="EY56">
        <f>IF(FC56="","",FK56)</f>
        <v>18</v>
      </c>
      <c r="EZ56" s="1070"/>
      <c r="FA56" s="1073"/>
      <c r="FB56" s="792" t="s">
        <v>100</v>
      </c>
      <c r="FC56" s="728">
        <v>124</v>
      </c>
      <c r="FD56" s="728">
        <v>168</v>
      </c>
      <c r="FE56" s="728">
        <v>158</v>
      </c>
      <c r="FF56" s="728">
        <v>166</v>
      </c>
      <c r="FG56" s="728">
        <v>141</v>
      </c>
      <c r="FH56" s="729">
        <f>SUM(FC56:FG56)</f>
        <v>757</v>
      </c>
      <c r="FI56" s="725">
        <f>MAX(FC56:FG56)</f>
        <v>168</v>
      </c>
      <c r="FJ56" s="726">
        <f>SUM(FH56*1000)+FI56+0.07</f>
        <v>757168.07</v>
      </c>
      <c r="FK56" s="730">
        <f>IF(FC56="","",RANK(FJ56,FJ6:FJ65,0))</f>
        <v>18</v>
      </c>
      <c r="FL56" s="731"/>
      <c r="FM56" s="251"/>
      <c r="FN56" s="251"/>
      <c r="FO56" s="1041"/>
      <c r="FP56" s="1"/>
      <c r="FQ56" s="1"/>
      <c r="FR56" s="1"/>
      <c r="FS56" s="1"/>
      <c r="FT56" s="1"/>
      <c r="FU56" s="1"/>
      <c r="FW56" t="str">
        <f>IF(GA56="","",GI56)</f>
        <v/>
      </c>
      <c r="FX56" s="980"/>
      <c r="FY56" s="983"/>
      <c r="FZ56" s="160"/>
      <c r="GA56" s="347"/>
      <c r="GB56" s="347"/>
      <c r="GC56" s="347"/>
      <c r="GD56" s="347"/>
      <c r="GE56" s="347"/>
      <c r="GF56" s="159">
        <f>SUM(GA56:GE56)</f>
        <v>0</v>
      </c>
      <c r="GG56" s="165">
        <f>MAX(GA56:GE56)</f>
        <v>0</v>
      </c>
      <c r="GH56" s="317">
        <f>SUM(GF56*1000)+GG56+0.07</f>
        <v>7.0000000000000007E-2</v>
      </c>
      <c r="GI56" s="320" t="str">
        <f>IF(GA56="","",RANK(GH56,GH6:GH70,0))</f>
        <v/>
      </c>
      <c r="GJ56" s="161"/>
      <c r="GK56" s="251"/>
      <c r="GL56" s="251"/>
      <c r="GM56" s="1022"/>
      <c r="GP56" s="155">
        <f t="shared" si="15"/>
        <v>51</v>
      </c>
      <c r="GQ56" s="166" t="str">
        <f>IF(GO6&lt;51,"",VLOOKUP(51,FW6:GI70,4,FALSE))</f>
        <v/>
      </c>
      <c r="GR56" s="155" t="str">
        <f>IF(GO6&lt;51,"",VLOOKUP(51,FW6:GI70,10,FALSE))</f>
        <v/>
      </c>
    </row>
    <row r="57" spans="15:200" ht="15" customHeight="1">
      <c r="O57">
        <f>IF(S57="","",AA57)</f>
        <v>21</v>
      </c>
      <c r="P57" s="980"/>
      <c r="Q57" s="983"/>
      <c r="R57" s="167" t="s">
        <v>201</v>
      </c>
      <c r="S57" s="327">
        <v>156</v>
      </c>
      <c r="T57" s="319">
        <v>143</v>
      </c>
      <c r="U57" s="319">
        <v>171</v>
      </c>
      <c r="V57" s="319">
        <v>128</v>
      </c>
      <c r="W57" s="319">
        <v>109</v>
      </c>
      <c r="X57" s="159">
        <f>SUM(S57:W57)</f>
        <v>707</v>
      </c>
      <c r="Y57" s="165">
        <f>MAX(S57:W57)</f>
        <v>171</v>
      </c>
      <c r="Z57" s="317">
        <f>SUM(X57*1000)+Y57+0.06</f>
        <v>707171.06</v>
      </c>
      <c r="AA57" s="320">
        <f>IF(S57="","",RANK(Z57,Z6:Z65,0))</f>
        <v>21</v>
      </c>
      <c r="AB57" s="161"/>
      <c r="AC57" s="1022"/>
      <c r="AK57">
        <f>IF(AO57="","",AW57)</f>
        <v>29</v>
      </c>
      <c r="AL57" s="980"/>
      <c r="AM57" s="983"/>
      <c r="AN57" s="238" t="s">
        <v>236</v>
      </c>
      <c r="AO57" s="327">
        <v>121</v>
      </c>
      <c r="AP57" s="319">
        <v>161</v>
      </c>
      <c r="AQ57" s="319">
        <v>148</v>
      </c>
      <c r="AR57" s="319">
        <v>129</v>
      </c>
      <c r="AS57" s="319">
        <v>124</v>
      </c>
      <c r="AT57" s="159">
        <f>SUM(AO57:AS57)</f>
        <v>683</v>
      </c>
      <c r="AU57" s="165">
        <f>MAX(AO57:AS57)</f>
        <v>161</v>
      </c>
      <c r="AV57" s="317">
        <f>SUM(AT57*1000)+AU57+0.06</f>
        <v>683161.06</v>
      </c>
      <c r="AW57" s="320">
        <f>IF(AO57="","",RANK(AV57,AV6:AV65,0))</f>
        <v>29</v>
      </c>
      <c r="AX57" s="161"/>
      <c r="AY57" s="1022"/>
      <c r="BD57" s="1"/>
      <c r="BE57" s="1"/>
      <c r="BG57">
        <f>IF(BK57="","",BS57)</f>
        <v>2</v>
      </c>
      <c r="BH57" s="980"/>
      <c r="BI57" s="983"/>
      <c r="BJ57" s="258" t="s">
        <v>177</v>
      </c>
      <c r="BK57" s="344">
        <v>179</v>
      </c>
      <c r="BL57" s="345">
        <v>205</v>
      </c>
      <c r="BM57" s="345">
        <v>179</v>
      </c>
      <c r="BN57" s="345">
        <v>135</v>
      </c>
      <c r="BO57" s="345">
        <v>199</v>
      </c>
      <c r="BP57" s="159">
        <f>SUM(BK57:BO57)</f>
        <v>897</v>
      </c>
      <c r="BQ57" s="165">
        <f>MAX(BK57:BO57)</f>
        <v>205</v>
      </c>
      <c r="BR57" s="317">
        <f>SUM(BP57*1000)+BQ57+0.06</f>
        <v>897205.06</v>
      </c>
      <c r="BS57" s="320">
        <f>IF(BK57="","",RANK(BR57,BR6:BR65,0))</f>
        <v>2</v>
      </c>
      <c r="BT57" s="161"/>
      <c r="BU57" s="251"/>
      <c r="BV57" s="251"/>
      <c r="BW57" s="1022"/>
      <c r="CB57" s="1"/>
      <c r="CC57" s="1"/>
      <c r="CE57">
        <f>IF(CI57="","",CQ57)</f>
        <v>4</v>
      </c>
      <c r="CF57" s="980"/>
      <c r="CG57" s="983"/>
      <c r="CH57" s="290" t="s">
        <v>165</v>
      </c>
      <c r="CI57" s="327">
        <v>153</v>
      </c>
      <c r="CJ57" s="327">
        <v>243</v>
      </c>
      <c r="CK57" s="327">
        <v>158</v>
      </c>
      <c r="CL57" s="327">
        <v>157</v>
      </c>
      <c r="CM57" s="327">
        <v>143</v>
      </c>
      <c r="CN57" s="159">
        <f>SUM(CI57:CM57)</f>
        <v>854</v>
      </c>
      <c r="CO57" s="165">
        <f>MAX(CI57:CM57)</f>
        <v>243</v>
      </c>
      <c r="CP57" s="317">
        <f>SUM(CN57*1000)+CO57+0.06</f>
        <v>854243.06</v>
      </c>
      <c r="CQ57" s="320">
        <f>IF(CI57="","",RANK(CP57,CP6:CP65,0))</f>
        <v>4</v>
      </c>
      <c r="CR57" s="161"/>
      <c r="CS57" s="251"/>
      <c r="CT57" s="251"/>
      <c r="CU57" s="1022"/>
      <c r="CZ57" s="1"/>
      <c r="DA57" s="1"/>
      <c r="DC57">
        <f>IF(DG57="","",DO57)</f>
        <v>9</v>
      </c>
      <c r="DD57" s="980"/>
      <c r="DE57" s="989"/>
      <c r="DF57" s="160" t="s">
        <v>34</v>
      </c>
      <c r="DG57" s="347">
        <v>183</v>
      </c>
      <c r="DH57" s="347">
        <v>162</v>
      </c>
      <c r="DI57" s="347">
        <v>146</v>
      </c>
      <c r="DJ57" s="347">
        <v>168</v>
      </c>
      <c r="DK57" s="347">
        <v>143</v>
      </c>
      <c r="DL57" s="159">
        <f>SUM(DG57:DK57)</f>
        <v>802</v>
      </c>
      <c r="DM57" s="165">
        <f>MAX(DG57:DK57)</f>
        <v>183</v>
      </c>
      <c r="DN57" s="317">
        <f>SUM(DL57*1000)+DM57+0.06</f>
        <v>802183.06</v>
      </c>
      <c r="DO57" s="320">
        <f>IF(DG57="","",RANK(DN57,DN6:DN65,0))</f>
        <v>9</v>
      </c>
      <c r="DP57" s="161"/>
      <c r="DQ57" s="251"/>
      <c r="DR57" s="251"/>
      <c r="DS57" s="1022"/>
      <c r="DX57" s="1"/>
      <c r="DY57" s="1"/>
      <c r="EA57">
        <f>IF(EE57="","",EM57)</f>
        <v>3</v>
      </c>
      <c r="EB57" s="980"/>
      <c r="EC57" s="1003"/>
      <c r="ED57" s="627" t="s">
        <v>67</v>
      </c>
      <c r="EE57" s="645">
        <v>211</v>
      </c>
      <c r="EF57" s="646">
        <v>164</v>
      </c>
      <c r="EG57" s="646">
        <v>184</v>
      </c>
      <c r="EH57" s="646">
        <v>169</v>
      </c>
      <c r="EI57" s="646">
        <v>166</v>
      </c>
      <c r="EJ57" s="649">
        <f>SUM(EE57:EI57)</f>
        <v>894</v>
      </c>
      <c r="EK57" s="165">
        <f>MAX(EE57:EI57)</f>
        <v>211</v>
      </c>
      <c r="EL57" s="317">
        <f>SUM(EJ57*1000)+EK57+0.06</f>
        <v>894211.06</v>
      </c>
      <c r="EM57" s="320">
        <f>IF(EE57="","",RANK(EL57,EL6:EL65,0))</f>
        <v>3</v>
      </c>
      <c r="EN57" s="161"/>
      <c r="EO57" s="251"/>
      <c r="EP57" s="251"/>
      <c r="EQ57" s="1025"/>
      <c r="EV57" s="1"/>
      <c r="EW57" s="1"/>
      <c r="EX57" s="1"/>
      <c r="EY57">
        <f>IF(FC57="","",FK57)</f>
        <v>12</v>
      </c>
      <c r="EZ57" s="1070"/>
      <c r="FA57" s="1073"/>
      <c r="FB57" s="792" t="s">
        <v>60</v>
      </c>
      <c r="FC57" s="728">
        <v>173</v>
      </c>
      <c r="FD57" s="728">
        <v>144</v>
      </c>
      <c r="FE57" s="728">
        <v>153</v>
      </c>
      <c r="FF57" s="728">
        <v>161</v>
      </c>
      <c r="FG57" s="728">
        <v>171</v>
      </c>
      <c r="FH57" s="729">
        <f>SUM(FC57:FG57)</f>
        <v>802</v>
      </c>
      <c r="FI57" s="725">
        <f>MAX(FC57:FG57)</f>
        <v>173</v>
      </c>
      <c r="FJ57" s="726">
        <f>SUM(FH57*1000)+FI57+0.06</f>
        <v>802173.06</v>
      </c>
      <c r="FK57" s="730">
        <f>IF(FC57="","",RANK(FJ57,FJ6:FJ65,0))</f>
        <v>12</v>
      </c>
      <c r="FL57" s="731"/>
      <c r="FM57" s="251"/>
      <c r="FN57" s="251"/>
      <c r="FO57" s="1041"/>
      <c r="FP57" s="1"/>
      <c r="FQ57" s="1"/>
      <c r="FR57" s="1"/>
      <c r="FS57" s="1"/>
      <c r="FT57" s="1"/>
      <c r="FU57" s="1"/>
      <c r="FW57" t="str">
        <f>IF(GA57="","",GI57)</f>
        <v/>
      </c>
      <c r="FX57" s="980"/>
      <c r="FY57" s="983"/>
      <c r="FZ57" s="160"/>
      <c r="GA57" s="347"/>
      <c r="GB57" s="347"/>
      <c r="GC57" s="347"/>
      <c r="GD57" s="347"/>
      <c r="GE57" s="347"/>
      <c r="GF57" s="159">
        <f>SUM(GA57:GE57)</f>
        <v>0</v>
      </c>
      <c r="GG57" s="165">
        <f>MAX(GA57:GE57)</f>
        <v>0</v>
      </c>
      <c r="GH57" s="317">
        <f>SUM(GF57*1000)+GG57+0.06</f>
        <v>0.06</v>
      </c>
      <c r="GI57" s="320" t="str">
        <f>IF(GA57="","",RANK(GH57,GH6:GH70,0))</f>
        <v/>
      </c>
      <c r="GJ57" s="161"/>
      <c r="GK57" s="251"/>
      <c r="GL57" s="251"/>
      <c r="GM57" s="1022"/>
      <c r="GP57" s="155">
        <f t="shared" si="15"/>
        <v>52</v>
      </c>
      <c r="GQ57" s="166" t="str">
        <f>IF(GO6&lt;52,"",VLOOKUP(52,FW6:GI70,4,FALSE))</f>
        <v/>
      </c>
      <c r="GR57" s="155" t="str">
        <f>IF(GO6&lt;52,"",VLOOKUP(52,FW6:GI70,10,FALSE))</f>
        <v/>
      </c>
    </row>
    <row r="58" spans="15:200" ht="15" customHeight="1">
      <c r="O58">
        <f>IF(S58="","",AA58)</f>
        <v>24</v>
      </c>
      <c r="P58" s="980"/>
      <c r="Q58" s="983"/>
      <c r="R58" s="158" t="s">
        <v>202</v>
      </c>
      <c r="S58" s="327">
        <v>136</v>
      </c>
      <c r="T58" s="319">
        <v>142</v>
      </c>
      <c r="U58" s="319">
        <v>143</v>
      </c>
      <c r="V58" s="319">
        <v>156</v>
      </c>
      <c r="W58" s="319">
        <v>114</v>
      </c>
      <c r="X58" s="159">
        <f>SUM(S58:W58)</f>
        <v>691</v>
      </c>
      <c r="Y58" s="165">
        <f>MAX(S58:W58)</f>
        <v>156</v>
      </c>
      <c r="Z58" s="317">
        <f>SUM(X58*1000)+Y58+0.05</f>
        <v>691156.05</v>
      </c>
      <c r="AA58" s="320">
        <f>IF(S58="","",RANK(Z58,Z6:Z65,0))</f>
        <v>24</v>
      </c>
      <c r="AB58" s="161"/>
      <c r="AC58" s="1022"/>
      <c r="AK58">
        <f>IF(AO58="","",AW58)</f>
        <v>4</v>
      </c>
      <c r="AL58" s="980"/>
      <c r="AM58" s="983"/>
      <c r="AN58" s="237" t="s">
        <v>237</v>
      </c>
      <c r="AO58" s="327">
        <v>168</v>
      </c>
      <c r="AP58" s="319">
        <v>194</v>
      </c>
      <c r="AQ58" s="319">
        <v>193</v>
      </c>
      <c r="AR58" s="319">
        <v>180</v>
      </c>
      <c r="AS58" s="319">
        <v>161</v>
      </c>
      <c r="AT58" s="159">
        <f>SUM(AO58:AS58)</f>
        <v>896</v>
      </c>
      <c r="AU58" s="165">
        <f>MAX(AO58:AS58)</f>
        <v>194</v>
      </c>
      <c r="AV58" s="317">
        <f>SUM(AT58*1000)+AU58+0.05</f>
        <v>896194.05</v>
      </c>
      <c r="AW58" s="320">
        <f>IF(AO58="","",RANK(AV58,AV6:AV65,0))</f>
        <v>4</v>
      </c>
      <c r="AX58" s="161"/>
      <c r="AY58" s="1022"/>
      <c r="BD58" s="1"/>
      <c r="BE58" s="1"/>
      <c r="BG58">
        <f>IF(BK58="","",BS58)</f>
        <v>8</v>
      </c>
      <c r="BH58" s="980"/>
      <c r="BI58" s="983"/>
      <c r="BJ58" s="257" t="s">
        <v>178</v>
      </c>
      <c r="BK58" s="344">
        <v>174</v>
      </c>
      <c r="BL58" s="345">
        <v>167</v>
      </c>
      <c r="BM58" s="345">
        <v>161</v>
      </c>
      <c r="BN58" s="345">
        <v>151</v>
      </c>
      <c r="BO58" s="345">
        <v>178</v>
      </c>
      <c r="BP58" s="159">
        <f>SUM(BK58:BO58)</f>
        <v>831</v>
      </c>
      <c r="BQ58" s="165">
        <f>MAX(BK58:BO58)</f>
        <v>178</v>
      </c>
      <c r="BR58" s="317">
        <f>SUM(BP58*1000)+BQ58+0.05</f>
        <v>831178.05</v>
      </c>
      <c r="BS58" s="320">
        <f>IF(BK58="","",RANK(BR58,BR6:BR65,0))</f>
        <v>8</v>
      </c>
      <c r="BT58" s="161"/>
      <c r="BU58" s="251"/>
      <c r="BV58" s="251"/>
      <c r="BW58" s="1022"/>
      <c r="CB58" s="1"/>
      <c r="CC58" s="1"/>
      <c r="CE58">
        <f>IF(CI58="","",CQ58)</f>
        <v>5</v>
      </c>
      <c r="CF58" s="980"/>
      <c r="CG58" s="983"/>
      <c r="CH58" s="289" t="s">
        <v>166</v>
      </c>
      <c r="CI58" s="327">
        <v>191</v>
      </c>
      <c r="CJ58" s="327">
        <v>137</v>
      </c>
      <c r="CK58" s="327">
        <v>200</v>
      </c>
      <c r="CL58" s="327">
        <v>153</v>
      </c>
      <c r="CM58" s="327">
        <v>161</v>
      </c>
      <c r="CN58" s="159">
        <f>SUM(CI58:CM58)</f>
        <v>842</v>
      </c>
      <c r="CO58" s="165">
        <f>MAX(CI58:CM58)</f>
        <v>200</v>
      </c>
      <c r="CP58" s="317">
        <f>SUM(CN58*1000)+CO58+0.05</f>
        <v>842200.05</v>
      </c>
      <c r="CQ58" s="320">
        <f>IF(CI58="","",RANK(CP58,CP6:CP65,0))</f>
        <v>5</v>
      </c>
      <c r="CR58" s="161"/>
      <c r="CS58" s="251"/>
      <c r="CT58" s="251"/>
      <c r="CU58" s="1022"/>
      <c r="CZ58" s="1"/>
      <c r="DA58" s="1"/>
      <c r="DC58">
        <f>IF(DG58="","",DO58)</f>
        <v>15</v>
      </c>
      <c r="DD58" s="980"/>
      <c r="DE58" s="989"/>
      <c r="DF58" s="160" t="s">
        <v>3</v>
      </c>
      <c r="DG58" s="347">
        <v>162</v>
      </c>
      <c r="DH58" s="347">
        <v>148</v>
      </c>
      <c r="DI58" s="347">
        <v>128</v>
      </c>
      <c r="DJ58" s="347">
        <v>183</v>
      </c>
      <c r="DK58" s="347">
        <v>145</v>
      </c>
      <c r="DL58" s="159">
        <f>SUM(DG58:DK58)</f>
        <v>766</v>
      </c>
      <c r="DM58" s="165">
        <f>MAX(DG58:DK58)</f>
        <v>183</v>
      </c>
      <c r="DN58" s="317">
        <f>SUM(DL58*1000)+DM58+0.05</f>
        <v>766183.05</v>
      </c>
      <c r="DO58" s="320">
        <f>IF(DG58="","",RANK(DN58,DN6:DN65,0))</f>
        <v>15</v>
      </c>
      <c r="DP58" s="161"/>
      <c r="DQ58" s="251"/>
      <c r="DR58" s="251"/>
      <c r="DS58" s="1022"/>
      <c r="DX58" s="1"/>
      <c r="DY58" s="1"/>
      <c r="EA58">
        <f>IF(EE58="","",EM58)</f>
        <v>11</v>
      </c>
      <c r="EB58" s="980"/>
      <c r="EC58" s="1003"/>
      <c r="ED58" s="627" t="s">
        <v>66</v>
      </c>
      <c r="EE58" s="645">
        <v>188</v>
      </c>
      <c r="EF58" s="646">
        <v>162</v>
      </c>
      <c r="EG58" s="646">
        <v>160</v>
      </c>
      <c r="EH58" s="646">
        <v>138</v>
      </c>
      <c r="EI58" s="646">
        <v>166</v>
      </c>
      <c r="EJ58" s="649">
        <f>SUM(EE58:EI58)</f>
        <v>814</v>
      </c>
      <c r="EK58" s="165">
        <f>MAX(EE58:EI58)</f>
        <v>188</v>
      </c>
      <c r="EL58" s="317">
        <f>SUM(EJ58*1000)+EK58+0.05</f>
        <v>814188.05</v>
      </c>
      <c r="EM58" s="320">
        <f>IF(EE58="","",RANK(EL58,EL6:EL65,0))</f>
        <v>11</v>
      </c>
      <c r="EN58" s="161"/>
      <c r="EO58" s="251"/>
      <c r="EP58" s="251"/>
      <c r="EQ58" s="1025"/>
      <c r="EV58" s="1"/>
      <c r="EW58" s="1"/>
      <c r="EX58" s="1"/>
      <c r="EY58">
        <f>IF(FC58="","",FK58)</f>
        <v>35</v>
      </c>
      <c r="EZ58" s="1070"/>
      <c r="FA58" s="1073"/>
      <c r="FB58" s="793" t="s">
        <v>106</v>
      </c>
      <c r="FC58" s="732">
        <v>134</v>
      </c>
      <c r="FD58" s="732">
        <v>144</v>
      </c>
      <c r="FE58" s="732">
        <v>158</v>
      </c>
      <c r="FF58" s="732">
        <v>95</v>
      </c>
      <c r="FG58" s="732">
        <v>116</v>
      </c>
      <c r="FH58" s="733">
        <f>SUM(FC58:FG58)</f>
        <v>647</v>
      </c>
      <c r="FI58" s="734">
        <f>MAX(FC58:FG58)</f>
        <v>158</v>
      </c>
      <c r="FJ58" s="735">
        <f>SUM(FH58*1000)+FI58+0.05</f>
        <v>647158.05000000005</v>
      </c>
      <c r="FK58" s="736">
        <f>IF(FC58="","",RANK(FJ58,FJ6:FJ65,0))</f>
        <v>35</v>
      </c>
      <c r="FL58" s="737"/>
      <c r="FM58" s="251"/>
      <c r="FN58" s="251"/>
      <c r="FO58" s="1041"/>
      <c r="FP58" s="1"/>
      <c r="FQ58" s="1"/>
      <c r="FR58" s="1"/>
      <c r="FS58" s="1"/>
      <c r="FT58" s="1"/>
      <c r="FU58" s="1"/>
      <c r="FW58" t="str">
        <f>IF(GA58="","",GI58)</f>
        <v/>
      </c>
      <c r="FX58" s="980"/>
      <c r="FY58" s="983"/>
      <c r="FZ58" s="160"/>
      <c r="GA58" s="347"/>
      <c r="GB58" s="347"/>
      <c r="GC58" s="347"/>
      <c r="GD58" s="347"/>
      <c r="GE58" s="347"/>
      <c r="GF58" s="159">
        <f>SUM(GA58:GE58)</f>
        <v>0</v>
      </c>
      <c r="GG58" s="165">
        <f>MAX(GA58:GE58)</f>
        <v>0</v>
      </c>
      <c r="GH58" s="317">
        <f>SUM(GF58*1000)+GG58+0.05</f>
        <v>0.05</v>
      </c>
      <c r="GI58" s="320" t="str">
        <f>IF(GA58="","",RANK(GH58,GH6:GH70,0))</f>
        <v/>
      </c>
      <c r="GJ58" s="161"/>
      <c r="GK58" s="251"/>
      <c r="GL58" s="251"/>
      <c r="GM58" s="1022"/>
      <c r="GP58" s="155">
        <f t="shared" si="15"/>
        <v>53</v>
      </c>
      <c r="GQ58" s="166" t="str">
        <f>IF(GO6&lt;53,"",VLOOKUP(53,FW6:GI70,4,FALSE))</f>
        <v/>
      </c>
      <c r="GR58" s="155" t="str">
        <f>IF(GO6&lt;53,"",VLOOKUP(53,FW6:GI70,10,FALSE))</f>
        <v/>
      </c>
    </row>
    <row r="59" spans="15:200" ht="15" customHeight="1">
      <c r="P59" s="981"/>
      <c r="Q59" s="984"/>
      <c r="R59" s="162"/>
      <c r="S59" s="321">
        <f>SUM(S54:S58)</f>
        <v>762</v>
      </c>
      <c r="T59" s="321">
        <f>SUM(T54:T58)</f>
        <v>765</v>
      </c>
      <c r="U59" s="321">
        <f>SUM(U54:U58)</f>
        <v>794</v>
      </c>
      <c r="V59" s="321">
        <f>SUM(V54:V58)</f>
        <v>760</v>
      </c>
      <c r="W59" s="321">
        <f>SUM(W54:W58)</f>
        <v>671</v>
      </c>
      <c r="X59" s="322"/>
      <c r="Y59" s="322"/>
      <c r="Z59" s="334"/>
      <c r="AA59" s="322"/>
      <c r="AB59" s="323">
        <f>SUM(S59:W59)</f>
        <v>3752</v>
      </c>
      <c r="AC59" s="1023"/>
      <c r="AL59" s="981"/>
      <c r="AM59" s="984"/>
      <c r="AN59" s="172"/>
      <c r="AO59" s="341">
        <f>SUM(AO54:AO58)</f>
        <v>716</v>
      </c>
      <c r="AP59" s="339">
        <f>SUM(AP54:AP58)</f>
        <v>865</v>
      </c>
      <c r="AQ59" s="339">
        <f>SUM(AQ54:AQ58)</f>
        <v>849</v>
      </c>
      <c r="AR59" s="339">
        <f>SUM(AR54:AR58)</f>
        <v>805</v>
      </c>
      <c r="AS59" s="339">
        <f>SUM(AS54:AS58)</f>
        <v>763</v>
      </c>
      <c r="AT59" s="322"/>
      <c r="AU59" s="322"/>
      <c r="AV59" s="334"/>
      <c r="AW59" s="322"/>
      <c r="AX59" s="323">
        <f>SUM(AO59:AS59)</f>
        <v>3998</v>
      </c>
      <c r="AY59" s="1023"/>
      <c r="BD59" s="1"/>
      <c r="BE59" s="1"/>
      <c r="BH59" s="981"/>
      <c r="BI59" s="984"/>
      <c r="BJ59" s="172"/>
      <c r="BK59" s="341">
        <f>SUM(BK54:BK58)</f>
        <v>729</v>
      </c>
      <c r="BL59" s="339">
        <f>SUM(BL54:BL58)</f>
        <v>732</v>
      </c>
      <c r="BM59" s="339">
        <f>SUM(BM54:BM58)</f>
        <v>711</v>
      </c>
      <c r="BN59" s="339">
        <f>SUM(BN54:BN58)</f>
        <v>723</v>
      </c>
      <c r="BO59" s="339">
        <f>SUM(BO54:BO58)</f>
        <v>763</v>
      </c>
      <c r="BP59" s="322"/>
      <c r="BQ59" s="322"/>
      <c r="BR59" s="334"/>
      <c r="BS59" s="322"/>
      <c r="BT59" s="323">
        <f>SUM(BK59:BO59)</f>
        <v>3658</v>
      </c>
      <c r="BU59" s="163">
        <f>MAX(BK59:BO59)</f>
        <v>763</v>
      </c>
      <c r="BV59" s="163">
        <f>IF(BK54="","",SUM(BT59*10000)+BU59)</f>
        <v>36580763</v>
      </c>
      <c r="BW59" s="1023"/>
      <c r="CB59" s="1"/>
      <c r="CC59" s="1"/>
      <c r="CF59" s="981"/>
      <c r="CG59" s="984"/>
      <c r="CH59" s="172"/>
      <c r="CI59" s="341">
        <f>SUM(CI54:CI58)</f>
        <v>719</v>
      </c>
      <c r="CJ59" s="339">
        <f>SUM(CJ54:CJ58)</f>
        <v>781</v>
      </c>
      <c r="CK59" s="339">
        <f>SUM(CK54:CK58)</f>
        <v>807</v>
      </c>
      <c r="CL59" s="339">
        <f>SUM(CL54:CL58)</f>
        <v>787</v>
      </c>
      <c r="CM59" s="339">
        <f>SUM(CM54:CM58)</f>
        <v>714</v>
      </c>
      <c r="CN59" s="322"/>
      <c r="CO59" s="322"/>
      <c r="CP59" s="334"/>
      <c r="CQ59" s="322"/>
      <c r="CR59" s="323">
        <f>SUM(CI59:CM59)</f>
        <v>3808</v>
      </c>
      <c r="CS59" s="163">
        <f>MAX(CI59:CM59)</f>
        <v>807</v>
      </c>
      <c r="CT59" s="163">
        <f>IF(CI54="","",SUM(CR59*1000)+CS59)</f>
        <v>3808807</v>
      </c>
      <c r="CU59" s="1023"/>
      <c r="CZ59" s="1"/>
      <c r="DA59" s="1"/>
      <c r="DD59" s="981"/>
      <c r="DE59" s="990"/>
      <c r="DF59" s="172"/>
      <c r="DG59" s="341">
        <f>SUM(DG54:DG58)</f>
        <v>798</v>
      </c>
      <c r="DH59" s="339">
        <f>SUM(DH54:DH58)</f>
        <v>719</v>
      </c>
      <c r="DI59" s="339">
        <f>SUM(DI54:DI58)</f>
        <v>637</v>
      </c>
      <c r="DJ59" s="339">
        <f>SUM(DJ54:DJ58)</f>
        <v>795</v>
      </c>
      <c r="DK59" s="339">
        <f>SUM(DK54:DK58)</f>
        <v>665</v>
      </c>
      <c r="DL59" s="322"/>
      <c r="DM59" s="322"/>
      <c r="DN59" s="334"/>
      <c r="DO59" s="322"/>
      <c r="DP59" s="323">
        <f>SUM(DG59:DK59)</f>
        <v>3614</v>
      </c>
      <c r="DQ59" s="163">
        <f>MAX(DG59:DK59)</f>
        <v>798</v>
      </c>
      <c r="DR59" s="163">
        <f>IF(DG54="","",SUM(DP59*1000)+DQ59)</f>
        <v>3614798</v>
      </c>
      <c r="DS59" s="1023"/>
      <c r="DX59" s="1"/>
      <c r="DY59" s="1"/>
      <c r="EB59" s="981"/>
      <c r="EC59" s="1004"/>
      <c r="ED59" s="172"/>
      <c r="EE59" s="321">
        <f>SUM(EE54:EE58)</f>
        <v>848</v>
      </c>
      <c r="EF59" s="321">
        <f>SUM(EF54:EF58)</f>
        <v>797</v>
      </c>
      <c r="EG59" s="321">
        <f>SUM(EG54:EG58)</f>
        <v>755</v>
      </c>
      <c r="EH59" s="321">
        <f>SUM(EH54:EH58)</f>
        <v>803</v>
      </c>
      <c r="EI59" s="321">
        <f>SUM(EI54:EI58)</f>
        <v>776</v>
      </c>
      <c r="EJ59" s="322"/>
      <c r="EK59" s="322"/>
      <c r="EL59" s="334"/>
      <c r="EM59" s="322"/>
      <c r="EN59" s="323">
        <f>SUM(EE59:EI59)</f>
        <v>3979</v>
      </c>
      <c r="EO59" s="163">
        <f>MAX(EE59:EI59)</f>
        <v>848</v>
      </c>
      <c r="EP59" s="163">
        <f>IF(EE54="","",SUM(EN59*1000)+EO59)</f>
        <v>3979848</v>
      </c>
      <c r="EQ59" s="1026"/>
      <c r="EV59" s="1"/>
      <c r="EW59" s="1"/>
      <c r="EX59" s="1"/>
      <c r="EZ59" s="1071"/>
      <c r="FA59" s="1074"/>
      <c r="FB59" s="744"/>
      <c r="FC59" s="740">
        <f>SUM(FC54:FC58)</f>
        <v>756</v>
      </c>
      <c r="FD59" s="740">
        <f>SUM(FD54:FD58)</f>
        <v>785</v>
      </c>
      <c r="FE59" s="740">
        <f>SUM(FE54:FE58)</f>
        <v>788</v>
      </c>
      <c r="FF59" s="740">
        <f>SUM(FF54:FF58)</f>
        <v>721</v>
      </c>
      <c r="FG59" s="740">
        <f>SUM(FG54:FG58)</f>
        <v>782</v>
      </c>
      <c r="FH59" s="741"/>
      <c r="FI59" s="741"/>
      <c r="FJ59" s="745"/>
      <c r="FK59" s="741"/>
      <c r="FL59" s="741">
        <f>SUM(FC59:FG59)</f>
        <v>3832</v>
      </c>
      <c r="FM59" s="799">
        <f>MAX(FC59:FG59)</f>
        <v>788</v>
      </c>
      <c r="FN59" s="746">
        <f>IF(FC54="","",SUM(FL59*1000)+FM59)</f>
        <v>3832788</v>
      </c>
      <c r="FO59" s="1041"/>
      <c r="FP59" s="1"/>
      <c r="FQ59" s="1"/>
      <c r="FR59" s="1"/>
      <c r="FS59" s="1"/>
      <c r="FT59" s="1"/>
      <c r="FU59" s="1"/>
      <c r="FX59" s="981"/>
      <c r="FY59" s="984"/>
      <c r="FZ59" s="172"/>
      <c r="GA59" s="341">
        <f>SUM(GA54:GA58)</f>
        <v>0</v>
      </c>
      <c r="GB59" s="339">
        <f>SUM(GB54:GB58)</f>
        <v>0</v>
      </c>
      <c r="GC59" s="339">
        <f>SUM(GC54:GC58)</f>
        <v>0</v>
      </c>
      <c r="GD59" s="339">
        <f>SUM(GD54:GD58)</f>
        <v>0</v>
      </c>
      <c r="GE59" s="339">
        <f>SUM(GE54:GE58)</f>
        <v>0</v>
      </c>
      <c r="GF59" s="322"/>
      <c r="GG59" s="322"/>
      <c r="GH59" s="334"/>
      <c r="GI59" s="322"/>
      <c r="GJ59" s="323">
        <f>SUM(GA59:GE59)</f>
        <v>0</v>
      </c>
      <c r="GK59" s="163">
        <f>MAX(GA59:GE59)</f>
        <v>0</v>
      </c>
      <c r="GL59" s="163" t="str">
        <f>IF(GA54="","",SUM(GJ59*1000)+GK59)</f>
        <v/>
      </c>
      <c r="GM59" s="1023"/>
      <c r="GP59" s="155">
        <f t="shared" si="15"/>
        <v>54</v>
      </c>
      <c r="GQ59" s="166" t="str">
        <f>IF(GO6&lt;54,"",VLOOKUP(54,FW6:GI70,4,FALSE))</f>
        <v/>
      </c>
      <c r="GR59" s="155" t="str">
        <f>IF(GO6&lt;54,"",VLOOKUP(54,FW6:GI70,10,FALSE))</f>
        <v/>
      </c>
    </row>
    <row r="60" spans="15:200" ht="15" customHeight="1">
      <c r="O60">
        <f>IF(S60="","",AA60)</f>
        <v>48</v>
      </c>
      <c r="P60" s="1042">
        <v>10</v>
      </c>
      <c r="Q60" s="982" t="s">
        <v>203</v>
      </c>
      <c r="R60" s="164" t="s">
        <v>204</v>
      </c>
      <c r="S60" s="324">
        <v>86</v>
      </c>
      <c r="T60" s="325">
        <v>98</v>
      </c>
      <c r="U60" s="325">
        <v>101</v>
      </c>
      <c r="V60" s="325">
        <v>105</v>
      </c>
      <c r="W60" s="325">
        <v>140</v>
      </c>
      <c r="X60" s="165">
        <f>SUM(S60:W60)</f>
        <v>530</v>
      </c>
      <c r="Y60" s="165">
        <f>MAX(S60:W60)</f>
        <v>140</v>
      </c>
      <c r="Z60" s="317">
        <f>SUM(X60*1000)+Y60+0.04</f>
        <v>530140.04</v>
      </c>
      <c r="AA60" s="318">
        <f>IF(S60="","",RANK(Z60,Z6:Z65,0))</f>
        <v>48</v>
      </c>
      <c r="AB60" s="175"/>
      <c r="AC60" s="985">
        <f>RANK(AB65,AB11:AB65,0)</f>
        <v>10</v>
      </c>
      <c r="AK60">
        <f>IF(AO60="","",AW60)</f>
        <v>42</v>
      </c>
      <c r="AL60" s="1042">
        <v>10</v>
      </c>
      <c r="AM60" s="982" t="s">
        <v>191</v>
      </c>
      <c r="AN60" s="236" t="s">
        <v>192</v>
      </c>
      <c r="AO60" s="338">
        <v>141</v>
      </c>
      <c r="AP60" s="316">
        <v>110</v>
      </c>
      <c r="AQ60" s="316">
        <v>107</v>
      </c>
      <c r="AR60" s="316">
        <v>132</v>
      </c>
      <c r="AS60" s="316">
        <v>114</v>
      </c>
      <c r="AT60" s="165">
        <f>SUM(AO60:AS60)</f>
        <v>604</v>
      </c>
      <c r="AU60" s="165">
        <f>MAX(AO60:AS60)</f>
        <v>141</v>
      </c>
      <c r="AV60" s="317">
        <f>SUM(AT60*1000)+AU60+0.04</f>
        <v>604141.04</v>
      </c>
      <c r="AW60" s="318">
        <f>IF(AO60="","",RANK(AV60,AV6:AV65,0))</f>
        <v>42</v>
      </c>
      <c r="AX60" s="175"/>
      <c r="AY60" s="985">
        <f>RANK(AX65,AX11:AX65,0)</f>
        <v>7</v>
      </c>
      <c r="BD60" s="1"/>
      <c r="BE60" s="1"/>
      <c r="BG60">
        <f>IF(BK60="","",BS60)</f>
        <v>46</v>
      </c>
      <c r="BH60" s="1042">
        <v>10</v>
      </c>
      <c r="BI60" s="982" t="s">
        <v>179</v>
      </c>
      <c r="BJ60" s="259" t="s">
        <v>180</v>
      </c>
      <c r="BK60" s="342">
        <v>109</v>
      </c>
      <c r="BL60" s="343">
        <v>120</v>
      </c>
      <c r="BM60" s="343">
        <v>106</v>
      </c>
      <c r="BN60" s="343">
        <v>112</v>
      </c>
      <c r="BO60" s="343">
        <v>117</v>
      </c>
      <c r="BP60" s="165">
        <f>SUM(BK60:BO60)</f>
        <v>564</v>
      </c>
      <c r="BQ60" s="165">
        <f>MAX(BK60:BO60)</f>
        <v>120</v>
      </c>
      <c r="BR60" s="317">
        <f>SUM(BP60*1000)+BQ60+0.04</f>
        <v>564120.04</v>
      </c>
      <c r="BS60" s="318">
        <f>IF(BK60="","",RANK(BR60,BR6:BR65,0))</f>
        <v>46</v>
      </c>
      <c r="BT60" s="175"/>
      <c r="BU60" s="252"/>
      <c r="BV60" s="252"/>
      <c r="BW60" s="985">
        <f>IF(BK60="","",RANK(BV65,BV11:BV65,0))</f>
        <v>9</v>
      </c>
      <c r="CB60" s="1"/>
      <c r="CC60" s="1"/>
      <c r="CE60">
        <f>IF(CI60="","",CQ60)</f>
        <v>25</v>
      </c>
      <c r="CF60" s="1042">
        <v>10</v>
      </c>
      <c r="CG60" s="982" t="s">
        <v>167</v>
      </c>
      <c r="CH60" s="291" t="s">
        <v>169</v>
      </c>
      <c r="CI60" s="324">
        <v>144</v>
      </c>
      <c r="CJ60" s="324">
        <v>135</v>
      </c>
      <c r="CK60" s="324">
        <v>136</v>
      </c>
      <c r="CL60" s="324">
        <v>155</v>
      </c>
      <c r="CM60" s="324">
        <v>112</v>
      </c>
      <c r="CN60" s="165">
        <f>SUM(CI60:CM60)</f>
        <v>682</v>
      </c>
      <c r="CO60" s="165">
        <f>MAX(CI60:CM60)</f>
        <v>155</v>
      </c>
      <c r="CP60" s="317">
        <f>SUM(CN60*1000)+CO60+0.04</f>
        <v>682155.04</v>
      </c>
      <c r="CQ60" s="318">
        <f>IF(CI60="","",RANK(CP60,CP6:CP65,0))</f>
        <v>25</v>
      </c>
      <c r="CR60" s="175"/>
      <c r="CS60" s="252"/>
      <c r="CT60" s="252"/>
      <c r="CU60" s="985">
        <f>IF(CI60="","",RANK(CT65,CT11:CT65,0))</f>
        <v>4</v>
      </c>
      <c r="CZ60" s="1"/>
      <c r="DA60" s="1"/>
      <c r="DC60">
        <f>IF(DG60="","",DO60)</f>
        <v>39</v>
      </c>
      <c r="DD60" s="1042">
        <v>10</v>
      </c>
      <c r="DE60" s="988" t="s">
        <v>150</v>
      </c>
      <c r="DF60" s="157" t="s">
        <v>8</v>
      </c>
      <c r="DG60" s="346">
        <v>138</v>
      </c>
      <c r="DH60" s="346">
        <v>127</v>
      </c>
      <c r="DI60" s="346">
        <v>110</v>
      </c>
      <c r="DJ60" s="346">
        <v>114</v>
      </c>
      <c r="DK60" s="346">
        <v>141</v>
      </c>
      <c r="DL60" s="165">
        <f>SUM(DG60:DK60)</f>
        <v>630</v>
      </c>
      <c r="DM60" s="165">
        <f>MAX(DG60:DK60)</f>
        <v>141</v>
      </c>
      <c r="DN60" s="317">
        <f>SUM(DL60*1000)+DM60+0.04</f>
        <v>630141.04</v>
      </c>
      <c r="DO60" s="318">
        <f>IF(DG60="","",RANK(DN60,DN6:DN65,0))</f>
        <v>39</v>
      </c>
      <c r="DP60" s="175"/>
      <c r="DQ60" s="252"/>
      <c r="DR60" s="252"/>
      <c r="DS60" s="985">
        <f>IF(DG60="","",RANK(DR65,DR11:DR65,0))</f>
        <v>7</v>
      </c>
      <c r="DX60" s="1"/>
      <c r="DY60" s="1"/>
      <c r="EA60">
        <f>IF(EE60="","",EM60)</f>
        <v>22</v>
      </c>
      <c r="EB60" s="1042">
        <v>10</v>
      </c>
      <c r="EC60" s="1005" t="s">
        <v>203</v>
      </c>
      <c r="ED60" s="647" t="s">
        <v>31</v>
      </c>
      <c r="EE60" s="643">
        <v>92</v>
      </c>
      <c r="EF60" s="644">
        <v>124</v>
      </c>
      <c r="EG60" s="644">
        <v>133</v>
      </c>
      <c r="EH60" s="644">
        <v>210</v>
      </c>
      <c r="EI60" s="644">
        <v>136</v>
      </c>
      <c r="EJ60" s="648">
        <f>SUM(EE60:EI60)</f>
        <v>695</v>
      </c>
      <c r="EK60" s="165">
        <f>MAX(EE60:EI60)</f>
        <v>210</v>
      </c>
      <c r="EL60" s="317">
        <f>SUM(EJ60*1000)+EK60+0.04</f>
        <v>695210.04</v>
      </c>
      <c r="EM60" s="318">
        <f>IF(EE60="","",RANK(EL60,EL6:EL65,0))</f>
        <v>22</v>
      </c>
      <c r="EN60" s="175"/>
      <c r="EO60" s="252"/>
      <c r="EP60" s="252"/>
      <c r="EQ60" s="1006">
        <f>IF(EE60="","",RANK(EP65,EP11:EP65,0))</f>
        <v>8</v>
      </c>
      <c r="EV60" s="1"/>
      <c r="EW60" s="1"/>
      <c r="EX60" s="1"/>
      <c r="EY60">
        <f>IF(FC60="","",FK60)</f>
        <v>38</v>
      </c>
      <c r="EZ60" s="1069">
        <v>10</v>
      </c>
      <c r="FA60" s="1072" t="s">
        <v>191</v>
      </c>
      <c r="FB60" s="791" t="s">
        <v>14</v>
      </c>
      <c r="FC60" s="795">
        <v>159</v>
      </c>
      <c r="FD60" s="795">
        <v>126</v>
      </c>
      <c r="FE60" s="795">
        <v>83</v>
      </c>
      <c r="FF60" s="795">
        <v>170</v>
      </c>
      <c r="FG60" s="795">
        <v>102</v>
      </c>
      <c r="FH60" s="725">
        <f>SUM(FC60:FG60)</f>
        <v>640</v>
      </c>
      <c r="FI60" s="725">
        <f>MAX(FC60:FG60)</f>
        <v>170</v>
      </c>
      <c r="FJ60" s="726">
        <f>SUM(FH60*1000)+FI60+0.04</f>
        <v>640170.04</v>
      </c>
      <c r="FK60" s="727">
        <f>IF(FC60="","",RANK(FJ60,FJ6:FJ65,0))</f>
        <v>38</v>
      </c>
      <c r="FL60" s="796"/>
      <c r="FM60" s="800"/>
      <c r="FN60" s="252"/>
      <c r="FO60" s="1041">
        <f>IF(FC60="","",RANK(FN65,FN11:FN65,0))</f>
        <v>10</v>
      </c>
      <c r="FP60" s="1"/>
      <c r="FQ60" s="1"/>
      <c r="FR60" s="1"/>
      <c r="FS60" s="1"/>
      <c r="FT60" s="1"/>
      <c r="FU60" s="1"/>
      <c r="FW60" t="str">
        <f>IF(GA60="","",GI60)</f>
        <v/>
      </c>
      <c r="FX60" s="1042">
        <v>10</v>
      </c>
      <c r="FY60" s="982" t="s">
        <v>203</v>
      </c>
      <c r="FZ60" s="157"/>
      <c r="GA60" s="346"/>
      <c r="GB60" s="346"/>
      <c r="GC60" s="346"/>
      <c r="GD60" s="346"/>
      <c r="GE60" s="346"/>
      <c r="GF60" s="165">
        <f>SUM(GA60:GE60)</f>
        <v>0</v>
      </c>
      <c r="GG60" s="165">
        <f>MAX(GA60:GE60)</f>
        <v>0</v>
      </c>
      <c r="GH60" s="317">
        <f>SUM(GF60*1000)+GG60+0.04</f>
        <v>0.04</v>
      </c>
      <c r="GI60" s="318" t="str">
        <f>IF(GA60="","",RANK(GH60,GH6:GH70,0))</f>
        <v/>
      </c>
      <c r="GJ60" s="175"/>
      <c r="GK60" s="252"/>
      <c r="GL60" s="252"/>
      <c r="GM60" s="985" t="str">
        <f>IF(GA60="","",RANK(GL65,GL11:GL71,0))</f>
        <v/>
      </c>
      <c r="GP60" s="155">
        <f t="shared" si="15"/>
        <v>55</v>
      </c>
      <c r="GQ60" s="166" t="str">
        <f>IF(GO6&lt;55,"",VLOOKUP(55,FW6:GI70,4,FALSE))</f>
        <v/>
      </c>
      <c r="GR60" s="155" t="str">
        <f>IF(GO6&lt;55,"",VLOOKUP(55,FW6:GI70,10,FALSE))</f>
        <v/>
      </c>
    </row>
    <row r="61" spans="15:200" ht="15" customHeight="1">
      <c r="O61">
        <f>IF(S61="","",AA61)</f>
        <v>28</v>
      </c>
      <c r="P61" s="1043"/>
      <c r="Q61" s="983"/>
      <c r="R61" s="158" t="s">
        <v>205</v>
      </c>
      <c r="S61" s="327">
        <v>119</v>
      </c>
      <c r="T61" s="319">
        <v>125</v>
      </c>
      <c r="U61" s="319">
        <v>157</v>
      </c>
      <c r="V61" s="319">
        <v>145</v>
      </c>
      <c r="W61" s="319">
        <v>115</v>
      </c>
      <c r="X61" s="159">
        <f>SUM(S61:W61)</f>
        <v>661</v>
      </c>
      <c r="Y61" s="165">
        <f>MAX(S61:W61)</f>
        <v>157</v>
      </c>
      <c r="Z61" s="317">
        <f>SUM(X61*1000)+Y61+0.03</f>
        <v>661157.03</v>
      </c>
      <c r="AA61" s="320">
        <f>IF(S61="","",RANK(Z61,Z6:Z65,0))</f>
        <v>28</v>
      </c>
      <c r="AB61" s="161"/>
      <c r="AC61" s="986"/>
      <c r="AK61">
        <f>IF(AO61="","",AW61)</f>
        <v>32</v>
      </c>
      <c r="AL61" s="1043"/>
      <c r="AM61" s="983"/>
      <c r="AN61" s="237" t="s">
        <v>193</v>
      </c>
      <c r="AO61" s="327">
        <v>124</v>
      </c>
      <c r="AP61" s="319">
        <v>123</v>
      </c>
      <c r="AQ61" s="319">
        <v>139</v>
      </c>
      <c r="AR61" s="319">
        <v>135</v>
      </c>
      <c r="AS61" s="319">
        <v>135</v>
      </c>
      <c r="AT61" s="159">
        <f>SUM(AO61:AS61)</f>
        <v>656</v>
      </c>
      <c r="AU61" s="165">
        <f>MAX(AO61:AS61)</f>
        <v>139</v>
      </c>
      <c r="AV61" s="317">
        <f>SUM(AT61*1000)+AU61+0.03</f>
        <v>656139.03</v>
      </c>
      <c r="AW61" s="320">
        <f>IF(AO61="","",RANK(AV61,AV6:AV65,0))</f>
        <v>32</v>
      </c>
      <c r="AX61" s="161"/>
      <c r="AY61" s="986"/>
      <c r="BD61" s="1"/>
      <c r="BE61" s="1"/>
      <c r="BG61">
        <f>IF(BK61="","",BS61)</f>
        <v>16</v>
      </c>
      <c r="BH61" s="1043"/>
      <c r="BI61" s="983"/>
      <c r="BJ61" s="257" t="s">
        <v>232</v>
      </c>
      <c r="BK61" s="344">
        <v>170</v>
      </c>
      <c r="BL61" s="345">
        <v>131</v>
      </c>
      <c r="BM61" s="345">
        <v>158</v>
      </c>
      <c r="BN61" s="345">
        <v>150</v>
      </c>
      <c r="BO61" s="345">
        <v>158</v>
      </c>
      <c r="BP61" s="159">
        <f>SUM(BK61:BO61)</f>
        <v>767</v>
      </c>
      <c r="BQ61" s="165">
        <f>MAX(BK61:BO61)</f>
        <v>170</v>
      </c>
      <c r="BR61" s="317">
        <f>SUM(BP61*1000)+BQ61+0.03</f>
        <v>767170.03</v>
      </c>
      <c r="BS61" s="320">
        <f>IF(BK61="","",RANK(BR61,BR6:BR65,0))</f>
        <v>16</v>
      </c>
      <c r="BT61" s="161"/>
      <c r="BU61" s="251"/>
      <c r="BV61" s="251"/>
      <c r="BW61" s="986"/>
      <c r="CB61" s="1"/>
      <c r="CC61" s="1"/>
      <c r="CE61">
        <f>IF(CI61="","",CQ61)</f>
        <v>10</v>
      </c>
      <c r="CF61" s="1043"/>
      <c r="CG61" s="983"/>
      <c r="CH61" s="289" t="s">
        <v>168</v>
      </c>
      <c r="CI61" s="327">
        <v>160</v>
      </c>
      <c r="CJ61" s="327">
        <v>170</v>
      </c>
      <c r="CK61" s="327">
        <v>124</v>
      </c>
      <c r="CL61" s="327">
        <v>170</v>
      </c>
      <c r="CM61" s="327">
        <v>161</v>
      </c>
      <c r="CN61" s="159">
        <f>SUM(CI61:CM61)</f>
        <v>785</v>
      </c>
      <c r="CO61" s="165">
        <f>MAX(CI61:CM61)</f>
        <v>170</v>
      </c>
      <c r="CP61" s="317">
        <f>SUM(CN61*1000)+CO61+0.03</f>
        <v>785170.03</v>
      </c>
      <c r="CQ61" s="320">
        <f>IF(CI61="","",RANK(CP61,CP6:CP65,0))</f>
        <v>10</v>
      </c>
      <c r="CR61" s="161"/>
      <c r="CS61" s="251"/>
      <c r="CT61" s="251"/>
      <c r="CU61" s="986"/>
      <c r="CZ61" s="1"/>
      <c r="DA61" s="1"/>
      <c r="DC61">
        <f>IF(DG61="","",DO61)</f>
        <v>41</v>
      </c>
      <c r="DD61" s="1043"/>
      <c r="DE61" s="989"/>
      <c r="DF61" s="160" t="s">
        <v>19</v>
      </c>
      <c r="DG61" s="347">
        <v>136</v>
      </c>
      <c r="DH61" s="347">
        <v>127</v>
      </c>
      <c r="DI61" s="347">
        <v>106</v>
      </c>
      <c r="DJ61" s="347">
        <v>131</v>
      </c>
      <c r="DK61" s="347">
        <v>119</v>
      </c>
      <c r="DL61" s="159">
        <f>SUM(DG61:DK61)</f>
        <v>619</v>
      </c>
      <c r="DM61" s="165">
        <f>MAX(DG61:DK61)</f>
        <v>136</v>
      </c>
      <c r="DN61" s="317">
        <f>SUM(DL61*1000)+DM61+0.03</f>
        <v>619136.03</v>
      </c>
      <c r="DO61" s="320">
        <f>IF(DG61="","",RANK(DN61,DN6:DN65,0))</f>
        <v>41</v>
      </c>
      <c r="DP61" s="161"/>
      <c r="DQ61" s="251"/>
      <c r="DR61" s="251"/>
      <c r="DS61" s="986"/>
      <c r="DX61" s="1"/>
      <c r="DY61" s="1"/>
      <c r="EA61">
        <f>IF(EE61="","",EM61)</f>
        <v>33</v>
      </c>
      <c r="EB61" s="1043"/>
      <c r="EC61" s="1003"/>
      <c r="ED61" s="627" t="s">
        <v>92</v>
      </c>
      <c r="EE61" s="645">
        <v>123</v>
      </c>
      <c r="EF61" s="646">
        <v>131</v>
      </c>
      <c r="EG61" s="646">
        <v>126</v>
      </c>
      <c r="EH61" s="646">
        <v>132</v>
      </c>
      <c r="EI61" s="646">
        <v>133</v>
      </c>
      <c r="EJ61" s="649">
        <f>SUM(EE61:EI61)</f>
        <v>645</v>
      </c>
      <c r="EK61" s="165">
        <f>MAX(EE61:EI61)</f>
        <v>133</v>
      </c>
      <c r="EL61" s="317">
        <f>SUM(EJ61*1000)+EK61+0.03</f>
        <v>645133.03</v>
      </c>
      <c r="EM61" s="320">
        <f>IF(EE61="","",RANK(EL61,EL6:EL65,0))</f>
        <v>33</v>
      </c>
      <c r="EN61" s="161"/>
      <c r="EO61" s="251"/>
      <c r="EP61" s="251"/>
      <c r="EQ61" s="992"/>
      <c r="EV61" s="1"/>
      <c r="EW61" s="1"/>
      <c r="EX61" s="1"/>
      <c r="EY61">
        <f>IF(FC61="","",FK61)</f>
        <v>26</v>
      </c>
      <c r="EZ61" s="1070"/>
      <c r="FA61" s="1073"/>
      <c r="FB61" s="792" t="s">
        <v>26</v>
      </c>
      <c r="FC61" s="728">
        <v>127</v>
      </c>
      <c r="FD61" s="728">
        <v>171</v>
      </c>
      <c r="FE61" s="728">
        <v>149</v>
      </c>
      <c r="FF61" s="728">
        <v>149</v>
      </c>
      <c r="FG61" s="728">
        <v>86</v>
      </c>
      <c r="FH61" s="729">
        <f>SUM(FC61:FG61)</f>
        <v>682</v>
      </c>
      <c r="FI61" s="725">
        <f>MAX(FC61:FG61)</f>
        <v>171</v>
      </c>
      <c r="FJ61" s="726">
        <f>SUM(FH61*1000)+FI61+0.03</f>
        <v>682171.03</v>
      </c>
      <c r="FK61" s="730">
        <f>IF(FC61="","",RANK(FJ61,FJ6:FJ65,0))</f>
        <v>26</v>
      </c>
      <c r="FL61" s="797"/>
      <c r="FM61" s="801"/>
      <c r="FN61" s="251"/>
      <c r="FO61" s="1041"/>
      <c r="FP61" s="1"/>
      <c r="FQ61" s="1"/>
      <c r="FR61" s="1"/>
      <c r="FS61" s="1"/>
      <c r="FT61" s="1"/>
      <c r="FU61" s="1"/>
      <c r="FW61" t="str">
        <f>IF(GA61="","",GI61)</f>
        <v/>
      </c>
      <c r="FX61" s="1043"/>
      <c r="FY61" s="983"/>
      <c r="FZ61" s="160"/>
      <c r="GA61" s="347"/>
      <c r="GB61" s="347"/>
      <c r="GC61" s="347"/>
      <c r="GD61" s="347"/>
      <c r="GE61" s="347"/>
      <c r="GF61" s="159">
        <f>SUM(GA61:GE61)</f>
        <v>0</v>
      </c>
      <c r="GG61" s="165">
        <f>MAX(GA61:GE61)</f>
        <v>0</v>
      </c>
      <c r="GH61" s="317">
        <f>SUM(GF61*1000)+GG61+0.03</f>
        <v>0.03</v>
      </c>
      <c r="GI61" s="320" t="str">
        <f>IF(GA61="","",RANK(GH61,GH6:GH70,0))</f>
        <v/>
      </c>
      <c r="GJ61" s="161"/>
      <c r="GK61" s="251"/>
      <c r="GL61" s="251"/>
      <c r="GM61" s="986"/>
      <c r="GR61" s="1"/>
    </row>
    <row r="62" spans="15:200" ht="15" customHeight="1">
      <c r="O62">
        <f>IF(S62="","",AA62)</f>
        <v>40</v>
      </c>
      <c r="P62" s="1043"/>
      <c r="Q62" s="983"/>
      <c r="R62" s="167" t="s">
        <v>206</v>
      </c>
      <c r="S62" s="327">
        <v>140</v>
      </c>
      <c r="T62" s="319">
        <v>115</v>
      </c>
      <c r="U62" s="319">
        <v>116</v>
      </c>
      <c r="V62" s="319">
        <v>107</v>
      </c>
      <c r="W62" s="319">
        <v>112</v>
      </c>
      <c r="X62" s="159">
        <f>SUM(S62:W62)</f>
        <v>590</v>
      </c>
      <c r="Y62" s="165">
        <f>MAX(S62:W62)</f>
        <v>140</v>
      </c>
      <c r="Z62" s="317">
        <f>SUM(X62*1000)+Y62+0.02</f>
        <v>590140.02</v>
      </c>
      <c r="AA62" s="320">
        <f>IF(S62="","",RANK(Z62,Z6:Z65,0))</f>
        <v>40</v>
      </c>
      <c r="AB62" s="161"/>
      <c r="AC62" s="986"/>
      <c r="AK62">
        <f>IF(AO62="","",AW62)</f>
        <v>43</v>
      </c>
      <c r="AL62" s="1043"/>
      <c r="AM62" s="983"/>
      <c r="AN62" s="238" t="s">
        <v>195</v>
      </c>
      <c r="AO62" s="327">
        <v>118</v>
      </c>
      <c r="AP62" s="319">
        <v>126</v>
      </c>
      <c r="AQ62" s="319">
        <v>117</v>
      </c>
      <c r="AR62" s="319">
        <v>131</v>
      </c>
      <c r="AS62" s="319">
        <v>111</v>
      </c>
      <c r="AT62" s="159">
        <f>SUM(AO62:AS62)</f>
        <v>603</v>
      </c>
      <c r="AU62" s="165">
        <f>MAX(AO62:AS62)</f>
        <v>131</v>
      </c>
      <c r="AV62" s="317">
        <f>SUM(AT62*1000)+AU62+0.02</f>
        <v>603131.02</v>
      </c>
      <c r="AW62" s="320">
        <f>IF(AO62="","",RANK(AV62,AV6:AV65,0))</f>
        <v>43</v>
      </c>
      <c r="AX62" s="161"/>
      <c r="AY62" s="986"/>
      <c r="BD62" s="1"/>
      <c r="BE62" s="1"/>
      <c r="BG62">
        <f>IF(BK62="","",BS62)</f>
        <v>50</v>
      </c>
      <c r="BH62" s="1043"/>
      <c r="BI62" s="983"/>
      <c r="BJ62" s="258" t="s">
        <v>251</v>
      </c>
      <c r="BK62" s="344">
        <v>85</v>
      </c>
      <c r="BL62" s="345">
        <v>107</v>
      </c>
      <c r="BM62" s="345">
        <v>107</v>
      </c>
      <c r="BN62" s="345">
        <v>113</v>
      </c>
      <c r="BO62" s="345">
        <v>68</v>
      </c>
      <c r="BP62" s="159">
        <f>SUM(BK62:BO62)</f>
        <v>480</v>
      </c>
      <c r="BQ62" s="165">
        <f>MAX(BK62:BO62)</f>
        <v>113</v>
      </c>
      <c r="BR62" s="317">
        <f>SUM(BP62*1000)+BQ62+0.02</f>
        <v>480113.02</v>
      </c>
      <c r="BS62" s="320">
        <f>IF(BK62="","",RANK(BR62,BR6:BR65,0))</f>
        <v>50</v>
      </c>
      <c r="BT62" s="161"/>
      <c r="BU62" s="251"/>
      <c r="BV62" s="251"/>
      <c r="BW62" s="986"/>
      <c r="CB62" s="1"/>
      <c r="CC62" s="1"/>
      <c r="CE62">
        <f>IF(CI62="","",CQ62)</f>
        <v>29</v>
      </c>
      <c r="CF62" s="1043"/>
      <c r="CG62" s="983"/>
      <c r="CH62" s="290" t="s">
        <v>171</v>
      </c>
      <c r="CI62" s="327">
        <v>165</v>
      </c>
      <c r="CJ62" s="327">
        <v>122</v>
      </c>
      <c r="CK62" s="327">
        <v>137</v>
      </c>
      <c r="CL62" s="327">
        <v>111</v>
      </c>
      <c r="CM62" s="327">
        <v>131</v>
      </c>
      <c r="CN62" s="159">
        <f>SUM(CI62:CM62)</f>
        <v>666</v>
      </c>
      <c r="CO62" s="165">
        <f>MAX(CI62:CM62)</f>
        <v>165</v>
      </c>
      <c r="CP62" s="317">
        <f>SUM(CN62*1000)+CO62+0.02</f>
        <v>666165.02</v>
      </c>
      <c r="CQ62" s="320">
        <f>IF(CI62="","",RANK(CP62,CP6:CP65,0))</f>
        <v>29</v>
      </c>
      <c r="CR62" s="161"/>
      <c r="CS62" s="251"/>
      <c r="CT62" s="251"/>
      <c r="CU62" s="986"/>
      <c r="CZ62" s="1"/>
      <c r="DA62" s="1"/>
      <c r="DC62">
        <f>IF(DG62="","",DO62)</f>
        <v>20</v>
      </c>
      <c r="DD62" s="1043"/>
      <c r="DE62" s="989"/>
      <c r="DF62" s="160" t="s">
        <v>46</v>
      </c>
      <c r="DG62" s="347">
        <v>113</v>
      </c>
      <c r="DH62" s="347">
        <v>157</v>
      </c>
      <c r="DI62" s="347">
        <v>134</v>
      </c>
      <c r="DJ62" s="347">
        <v>167</v>
      </c>
      <c r="DK62" s="347">
        <v>151</v>
      </c>
      <c r="DL62" s="159">
        <f>SUM(DG62:DK62)</f>
        <v>722</v>
      </c>
      <c r="DM62" s="165">
        <f>MAX(DG62:DK62)</f>
        <v>167</v>
      </c>
      <c r="DN62" s="317">
        <f>SUM(DL62*1000)+DM62+0.02</f>
        <v>722167.02</v>
      </c>
      <c r="DO62" s="320">
        <f>IF(DG62="","",RANK(DN62,DN6:DN65,0))</f>
        <v>20</v>
      </c>
      <c r="DP62" s="161"/>
      <c r="DQ62" s="251"/>
      <c r="DR62" s="251"/>
      <c r="DS62" s="986"/>
      <c r="DX62" s="1"/>
      <c r="DY62" s="1"/>
      <c r="EA62">
        <f>IF(EE62="","",EM62)</f>
        <v>32</v>
      </c>
      <c r="EB62" s="1043"/>
      <c r="EC62" s="1003"/>
      <c r="ED62" s="627" t="s">
        <v>293</v>
      </c>
      <c r="EE62" s="645">
        <v>132</v>
      </c>
      <c r="EF62" s="646">
        <v>137</v>
      </c>
      <c r="EG62" s="646">
        <v>129</v>
      </c>
      <c r="EH62" s="646">
        <v>140</v>
      </c>
      <c r="EI62" s="646">
        <v>112</v>
      </c>
      <c r="EJ62" s="649">
        <f>SUM(EE62:EI62)</f>
        <v>650</v>
      </c>
      <c r="EK62" s="165">
        <f>MAX(EE62:EI62)</f>
        <v>140</v>
      </c>
      <c r="EL62" s="317">
        <f>SUM(EJ62*1000)+EK62+0.02</f>
        <v>650140.02</v>
      </c>
      <c r="EM62" s="320">
        <f>IF(EE62="","",RANK(EL62,EL6:EL65,0))</f>
        <v>32</v>
      </c>
      <c r="EN62" s="161"/>
      <c r="EO62" s="251"/>
      <c r="EP62" s="251"/>
      <c r="EQ62" s="992"/>
      <c r="EV62" s="1"/>
      <c r="EW62" s="1"/>
      <c r="EX62" s="1"/>
      <c r="EY62">
        <f>IF(FC62="","",FK62)</f>
        <v>43</v>
      </c>
      <c r="EZ62" s="1070"/>
      <c r="FA62" s="1073"/>
      <c r="FB62" s="792" t="s">
        <v>285</v>
      </c>
      <c r="FC62" s="728">
        <v>106</v>
      </c>
      <c r="FD62" s="728">
        <v>137</v>
      </c>
      <c r="FE62" s="728">
        <v>133</v>
      </c>
      <c r="FF62" s="728">
        <v>110</v>
      </c>
      <c r="FG62" s="728">
        <v>133</v>
      </c>
      <c r="FH62" s="729">
        <f>SUM(FC62:FG62)</f>
        <v>619</v>
      </c>
      <c r="FI62" s="725">
        <f>MAX(FC62:FG62)</f>
        <v>137</v>
      </c>
      <c r="FJ62" s="726">
        <f>SUM(FH62*1000)+FI62+0.02</f>
        <v>619137.02</v>
      </c>
      <c r="FK62" s="730">
        <f>IF(FC62="","",RANK(FJ62,FJ6:FJ65,0))</f>
        <v>43</v>
      </c>
      <c r="FL62" s="797"/>
      <c r="FM62" s="801"/>
      <c r="FN62" s="251"/>
      <c r="FO62" s="1041"/>
      <c r="FP62" s="1"/>
      <c r="FQ62" s="1"/>
      <c r="FR62" s="1"/>
      <c r="FS62" s="1"/>
      <c r="FT62" s="1"/>
      <c r="FU62" s="1"/>
      <c r="FW62" t="str">
        <f>IF(GA62="","",GI62)</f>
        <v/>
      </c>
      <c r="FX62" s="1043"/>
      <c r="FY62" s="983"/>
      <c r="FZ62" s="160"/>
      <c r="GA62" s="347"/>
      <c r="GB62" s="347"/>
      <c r="GC62" s="347"/>
      <c r="GD62" s="347"/>
      <c r="GE62" s="347"/>
      <c r="GF62" s="159">
        <f>SUM(GA62:GE62)</f>
        <v>0</v>
      </c>
      <c r="GG62" s="165">
        <f>MAX(GA62:GE62)</f>
        <v>0</v>
      </c>
      <c r="GH62" s="317">
        <f>SUM(GF62*1000)+GG62+0.02</f>
        <v>0.02</v>
      </c>
      <c r="GI62" s="320" t="str">
        <f>IF(GA62="","",RANK(GH62,GH6:GH70,0))</f>
        <v/>
      </c>
      <c r="GJ62" s="161"/>
      <c r="GK62" s="251"/>
      <c r="GL62" s="251"/>
      <c r="GM62" s="986"/>
      <c r="GR62" s="1"/>
    </row>
    <row r="63" spans="15:200" ht="15" customHeight="1">
      <c r="O63">
        <f>IF(S63="","",AA63)</f>
        <v>47</v>
      </c>
      <c r="P63" s="1043"/>
      <c r="Q63" s="983"/>
      <c r="R63" s="176" t="s">
        <v>207</v>
      </c>
      <c r="S63" s="327">
        <v>112</v>
      </c>
      <c r="T63" s="319">
        <v>128</v>
      </c>
      <c r="U63" s="319">
        <v>120</v>
      </c>
      <c r="V63" s="319">
        <v>89</v>
      </c>
      <c r="W63" s="319">
        <v>104</v>
      </c>
      <c r="X63" s="159">
        <f>SUM(S63:W63)</f>
        <v>553</v>
      </c>
      <c r="Y63" s="165">
        <f>MAX(S63:W63)</f>
        <v>128</v>
      </c>
      <c r="Z63" s="317">
        <f>SUM(X63*1000)+Y63+0.01</f>
        <v>553128.01</v>
      </c>
      <c r="AA63" s="320">
        <f>IF(S63="","",RANK(Z63,Z6:Z65,0))</f>
        <v>47</v>
      </c>
      <c r="AB63" s="161"/>
      <c r="AC63" s="986"/>
      <c r="AK63">
        <f>IF(AO63="","",AW63)</f>
        <v>21</v>
      </c>
      <c r="AL63" s="1043"/>
      <c r="AM63" s="983"/>
      <c r="AN63" s="248" t="s">
        <v>238</v>
      </c>
      <c r="AO63" s="327">
        <v>129</v>
      </c>
      <c r="AP63" s="319">
        <v>140</v>
      </c>
      <c r="AQ63" s="319">
        <v>148</v>
      </c>
      <c r="AR63" s="319">
        <v>170</v>
      </c>
      <c r="AS63" s="319">
        <v>123</v>
      </c>
      <c r="AT63" s="159">
        <f>SUM(AO63:AS63)</f>
        <v>710</v>
      </c>
      <c r="AU63" s="165">
        <f>MAX(AO63:AS63)</f>
        <v>170</v>
      </c>
      <c r="AV63" s="317">
        <f>SUM(AT63*1000)+AU63+0.01</f>
        <v>710170.01</v>
      </c>
      <c r="AW63" s="320">
        <f>IF(AO63="","",RANK(AV63,AV6:AV65,0))</f>
        <v>21</v>
      </c>
      <c r="AX63" s="161"/>
      <c r="AY63" s="986"/>
      <c r="BD63" s="1"/>
      <c r="BE63" s="1"/>
      <c r="BG63">
        <f>IF(BK63="","",BS63)</f>
        <v>35</v>
      </c>
      <c r="BH63" s="1043"/>
      <c r="BI63" s="983"/>
      <c r="BJ63" s="263" t="s">
        <v>234</v>
      </c>
      <c r="BK63" s="344">
        <v>171</v>
      </c>
      <c r="BL63" s="345">
        <v>123</v>
      </c>
      <c r="BM63" s="345">
        <v>122</v>
      </c>
      <c r="BN63" s="345">
        <v>137</v>
      </c>
      <c r="BO63" s="345">
        <v>116</v>
      </c>
      <c r="BP63" s="159">
        <f>SUM(BK63:BO63)</f>
        <v>669</v>
      </c>
      <c r="BQ63" s="165">
        <f>MAX(BK63:BO63)</f>
        <v>171</v>
      </c>
      <c r="BR63" s="317">
        <f>SUM(BP63*1000)+BQ63+0.01</f>
        <v>669171.01</v>
      </c>
      <c r="BS63" s="320">
        <f>IF(BK63="","",RANK(BR63,BR6:BR65,0))</f>
        <v>35</v>
      </c>
      <c r="BT63" s="161"/>
      <c r="BU63" s="251"/>
      <c r="BV63" s="251"/>
      <c r="BW63" s="986"/>
      <c r="CB63" s="1"/>
      <c r="CC63" s="1"/>
      <c r="CE63">
        <f>IF(CI63="","",CQ63)</f>
        <v>15</v>
      </c>
      <c r="CF63" s="1043"/>
      <c r="CG63" s="983"/>
      <c r="CH63" s="292" t="s">
        <v>170</v>
      </c>
      <c r="CI63" s="327">
        <v>159</v>
      </c>
      <c r="CJ63" s="327">
        <v>168</v>
      </c>
      <c r="CK63" s="327">
        <v>123</v>
      </c>
      <c r="CL63" s="327">
        <v>151</v>
      </c>
      <c r="CM63" s="327">
        <v>152</v>
      </c>
      <c r="CN63" s="159">
        <f>SUM(CI63:CM63)</f>
        <v>753</v>
      </c>
      <c r="CO63" s="165">
        <f>MAX(CI63:CM63)</f>
        <v>168</v>
      </c>
      <c r="CP63" s="317">
        <f>SUM(CN63*1000)+CO63+0.01</f>
        <v>753168.01</v>
      </c>
      <c r="CQ63" s="320">
        <f>IF(CI63="","",RANK(CP63,CP6:CP65,0))</f>
        <v>15</v>
      </c>
      <c r="CR63" s="161"/>
      <c r="CS63" s="251"/>
      <c r="CT63" s="251"/>
      <c r="CU63" s="986"/>
      <c r="CZ63" s="1"/>
      <c r="DA63" s="1"/>
      <c r="DC63">
        <f>IF(DG63="","",DO63)</f>
        <v>38</v>
      </c>
      <c r="DD63" s="1043"/>
      <c r="DE63" s="989"/>
      <c r="DF63" s="160" t="s">
        <v>125</v>
      </c>
      <c r="DG63" s="347">
        <v>144</v>
      </c>
      <c r="DH63" s="347">
        <v>103</v>
      </c>
      <c r="DI63" s="347">
        <v>134</v>
      </c>
      <c r="DJ63" s="347">
        <v>110</v>
      </c>
      <c r="DK63" s="347">
        <v>149</v>
      </c>
      <c r="DL63" s="159">
        <f>SUM(DG63:DK63)</f>
        <v>640</v>
      </c>
      <c r="DM63" s="165">
        <f>MAX(DG63:DK63)</f>
        <v>149</v>
      </c>
      <c r="DN63" s="317">
        <f>SUM(DL63*1000)+DM63+0.01</f>
        <v>640149.01</v>
      </c>
      <c r="DO63" s="320">
        <f>IF(DG63="","",RANK(DN63,DN6:DN65,0))</f>
        <v>38</v>
      </c>
      <c r="DP63" s="161"/>
      <c r="DQ63" s="251"/>
      <c r="DR63" s="251"/>
      <c r="DS63" s="986"/>
      <c r="DX63" s="1"/>
      <c r="DY63" s="1"/>
      <c r="EA63">
        <f>IF(EE63="","",EM63)</f>
        <v>41</v>
      </c>
      <c r="EB63" s="1043"/>
      <c r="EC63" s="1003"/>
      <c r="ED63" s="627" t="s">
        <v>29</v>
      </c>
      <c r="EE63" s="645">
        <v>123</v>
      </c>
      <c r="EF63" s="646">
        <v>119</v>
      </c>
      <c r="EG63" s="646">
        <v>124</v>
      </c>
      <c r="EH63" s="646">
        <v>147</v>
      </c>
      <c r="EI63" s="646">
        <v>102</v>
      </c>
      <c r="EJ63" s="649">
        <f>SUM(EE63:EI63)</f>
        <v>615</v>
      </c>
      <c r="EK63" s="165">
        <f>MAX(EE63:EI63)</f>
        <v>147</v>
      </c>
      <c r="EL63" s="317">
        <f>SUM(EJ63*1000)+EK63+0.01</f>
        <v>615147.01</v>
      </c>
      <c r="EM63" s="320">
        <f>IF(EE63="","",RANK(EL63,EL6:EL65,0))</f>
        <v>41</v>
      </c>
      <c r="EN63" s="161"/>
      <c r="EO63" s="251"/>
      <c r="EP63" s="251"/>
      <c r="EQ63" s="992"/>
      <c r="EV63" s="1"/>
      <c r="EW63" s="1"/>
      <c r="EX63" s="1"/>
      <c r="EY63">
        <f>IF(FC63="","",FK63)</f>
        <v>47</v>
      </c>
      <c r="EZ63" s="1070"/>
      <c r="FA63" s="1073"/>
      <c r="FB63" s="792" t="s">
        <v>127</v>
      </c>
      <c r="FC63" s="728">
        <v>116</v>
      </c>
      <c r="FD63" s="728">
        <v>109</v>
      </c>
      <c r="FE63" s="728">
        <v>116</v>
      </c>
      <c r="FF63" s="728">
        <v>115</v>
      </c>
      <c r="FG63" s="728">
        <v>119</v>
      </c>
      <c r="FH63" s="729">
        <f>SUM(FC63:FG63)</f>
        <v>575</v>
      </c>
      <c r="FI63" s="725">
        <f>MAX(FC63:FG63)</f>
        <v>119</v>
      </c>
      <c r="FJ63" s="726">
        <f>SUM(FH63*1000)+FI63+0.01</f>
        <v>575119.01</v>
      </c>
      <c r="FK63" s="730">
        <f>IF(FC63="","",RANK(FJ63,FJ6:FJ65,0))</f>
        <v>47</v>
      </c>
      <c r="FL63" s="797"/>
      <c r="FM63" s="801"/>
      <c r="FN63" s="251"/>
      <c r="FO63" s="1041"/>
      <c r="FP63" s="1"/>
      <c r="FQ63" s="1"/>
      <c r="FR63" s="1"/>
      <c r="FS63" s="1"/>
      <c r="FT63" s="1"/>
      <c r="FU63" s="1"/>
      <c r="FW63" t="str">
        <f>IF(GA63="","",GI63)</f>
        <v/>
      </c>
      <c r="FX63" s="1043"/>
      <c r="FY63" s="983"/>
      <c r="FZ63" s="160"/>
      <c r="GA63" s="347"/>
      <c r="GB63" s="347"/>
      <c r="GC63" s="347"/>
      <c r="GD63" s="347"/>
      <c r="GE63" s="347"/>
      <c r="GF63" s="159">
        <f>SUM(GA63:GE63)</f>
        <v>0</v>
      </c>
      <c r="GG63" s="165">
        <f>MAX(GA63:GE63)</f>
        <v>0</v>
      </c>
      <c r="GH63" s="317">
        <f>SUM(GF63*1000)+GG63+0.01</f>
        <v>0.01</v>
      </c>
      <c r="GI63" s="320" t="str">
        <f>IF(GA63="","",RANK(GH63,GH6:GH70,0))</f>
        <v/>
      </c>
      <c r="GJ63" s="161"/>
      <c r="GK63" s="251"/>
      <c r="GL63" s="251"/>
      <c r="GM63" s="986"/>
      <c r="GR63" s="1"/>
    </row>
    <row r="64" spans="15:200" ht="15" customHeight="1">
      <c r="O64">
        <f>IF(S64="","",AA64)</f>
        <v>35</v>
      </c>
      <c r="P64" s="1043"/>
      <c r="Q64" s="983"/>
      <c r="R64" s="167" t="s">
        <v>208</v>
      </c>
      <c r="S64" s="327">
        <v>132</v>
      </c>
      <c r="T64" s="319">
        <v>137</v>
      </c>
      <c r="U64" s="319">
        <v>139</v>
      </c>
      <c r="V64" s="319">
        <v>116</v>
      </c>
      <c r="W64" s="319">
        <v>103</v>
      </c>
      <c r="X64" s="159">
        <f>SUM(S64:W64)</f>
        <v>627</v>
      </c>
      <c r="Y64" s="165">
        <f>MAX(S64:W64)</f>
        <v>139</v>
      </c>
      <c r="Z64" s="317">
        <f>SUM(X64*1000)+Y64</f>
        <v>627139</v>
      </c>
      <c r="AA64" s="320">
        <f>IF(S64="","",RANK(Z64,Z6:Z65,0))</f>
        <v>35</v>
      </c>
      <c r="AB64" s="159"/>
      <c r="AC64" s="986"/>
      <c r="AK64">
        <f>IF(AO64="","",AW64)</f>
        <v>31</v>
      </c>
      <c r="AL64" s="1043"/>
      <c r="AM64" s="983"/>
      <c r="AN64" s="238" t="s">
        <v>239</v>
      </c>
      <c r="AO64" s="327">
        <v>122</v>
      </c>
      <c r="AP64" s="319">
        <v>142</v>
      </c>
      <c r="AQ64" s="319">
        <v>125</v>
      </c>
      <c r="AR64" s="319">
        <v>153</v>
      </c>
      <c r="AS64" s="319">
        <v>120</v>
      </c>
      <c r="AT64" s="159">
        <f>SUM(AO64:AS64)</f>
        <v>662</v>
      </c>
      <c r="AU64" s="165">
        <f>MAX(AO64:AS64)</f>
        <v>153</v>
      </c>
      <c r="AV64" s="317">
        <f>SUM(AT64*1000)+AU64</f>
        <v>662153</v>
      </c>
      <c r="AW64" s="320">
        <f>IF(AO64="","",RANK(AV64,AV6:AV65,0))</f>
        <v>31</v>
      </c>
      <c r="AX64" s="159"/>
      <c r="AY64" s="986"/>
      <c r="BD64" s="1"/>
      <c r="BE64" s="1"/>
      <c r="BG64">
        <f>IF(BK64="","",BS64)</f>
        <v>42</v>
      </c>
      <c r="BH64" s="1043"/>
      <c r="BI64" s="983"/>
      <c r="BJ64" s="258" t="s">
        <v>231</v>
      </c>
      <c r="BK64" s="344">
        <v>129</v>
      </c>
      <c r="BL64" s="345">
        <v>92</v>
      </c>
      <c r="BM64" s="345">
        <v>111</v>
      </c>
      <c r="BN64" s="345">
        <v>130</v>
      </c>
      <c r="BO64" s="345">
        <v>131</v>
      </c>
      <c r="BP64" s="159">
        <f>SUM(BK64:BO64)</f>
        <v>593</v>
      </c>
      <c r="BQ64" s="165">
        <f>MAX(BK64:BO64)</f>
        <v>131</v>
      </c>
      <c r="BR64" s="317">
        <f>SUM(BP64*1000)+BQ64</f>
        <v>593131</v>
      </c>
      <c r="BS64" s="320">
        <f>IF(BK64="","",RANK(BR64,BR6:BR65,0))</f>
        <v>42</v>
      </c>
      <c r="BT64" s="159"/>
      <c r="BU64" s="250"/>
      <c r="BV64" s="250"/>
      <c r="BW64" s="986"/>
      <c r="CB64" s="1"/>
      <c r="CC64" s="1"/>
      <c r="CE64">
        <f>IF(CI64="","",CQ64)</f>
        <v>24</v>
      </c>
      <c r="CF64" s="1043"/>
      <c r="CG64" s="983"/>
      <c r="CH64" s="290" t="s">
        <v>172</v>
      </c>
      <c r="CI64" s="327">
        <v>137</v>
      </c>
      <c r="CJ64" s="327">
        <v>152</v>
      </c>
      <c r="CK64" s="327">
        <v>137</v>
      </c>
      <c r="CL64" s="327">
        <v>125</v>
      </c>
      <c r="CM64" s="327">
        <v>137</v>
      </c>
      <c r="CN64" s="159">
        <f>SUM(CI64:CM64)</f>
        <v>688</v>
      </c>
      <c r="CO64" s="165">
        <f>MAX(CI64:CM64)</f>
        <v>152</v>
      </c>
      <c r="CP64" s="317">
        <f>SUM(CN64*1000)+CO64</f>
        <v>688152</v>
      </c>
      <c r="CQ64" s="320">
        <f>IF(CI64="","",RANK(CP64,CP6:CP65,0))</f>
        <v>24</v>
      </c>
      <c r="CR64" s="159"/>
      <c r="CS64" s="250"/>
      <c r="CT64" s="250"/>
      <c r="CU64" s="986"/>
      <c r="CZ64" s="1"/>
      <c r="DA64" s="1"/>
      <c r="DC64">
        <f>IF(DG64="","",DO64)</f>
        <v>14</v>
      </c>
      <c r="DD64" s="1043"/>
      <c r="DE64" s="989"/>
      <c r="DF64" s="160" t="s">
        <v>35</v>
      </c>
      <c r="DG64" s="347">
        <v>161</v>
      </c>
      <c r="DH64" s="347">
        <v>176</v>
      </c>
      <c r="DI64" s="347">
        <v>186</v>
      </c>
      <c r="DJ64" s="347">
        <v>107</v>
      </c>
      <c r="DK64" s="347">
        <v>146</v>
      </c>
      <c r="DL64" s="159">
        <f>SUM(DG64:DK64)</f>
        <v>776</v>
      </c>
      <c r="DM64" s="165">
        <f>MAX(DG64:DK64)</f>
        <v>186</v>
      </c>
      <c r="DN64" s="317">
        <f>SUM(DL64*1000)+DM64</f>
        <v>776186</v>
      </c>
      <c r="DO64" s="320">
        <f>IF(DG64="","",RANK(DN64,DN6:DN65,0))</f>
        <v>14</v>
      </c>
      <c r="DP64" s="159"/>
      <c r="DQ64" s="250"/>
      <c r="DR64" s="250"/>
      <c r="DS64" s="986"/>
      <c r="DX64" s="1"/>
      <c r="DY64" s="1"/>
      <c r="EA64">
        <f>IF(EE64="","",EM64)</f>
        <v>49</v>
      </c>
      <c r="EB64" s="1043"/>
      <c r="EC64" s="1003"/>
      <c r="ED64" s="627" t="s">
        <v>254</v>
      </c>
      <c r="EE64" s="645">
        <v>88</v>
      </c>
      <c r="EF64" s="646">
        <v>110</v>
      </c>
      <c r="EG64" s="646">
        <v>124</v>
      </c>
      <c r="EH64" s="646">
        <v>88</v>
      </c>
      <c r="EI64" s="646">
        <v>128</v>
      </c>
      <c r="EJ64" s="649">
        <f>SUM(EE64:EI64)</f>
        <v>538</v>
      </c>
      <c r="EK64" s="165">
        <f>MAX(EE64:EI64)</f>
        <v>128</v>
      </c>
      <c r="EL64" s="317">
        <f>SUM(EJ64*1000)+EK64</f>
        <v>538128</v>
      </c>
      <c r="EM64" s="320">
        <f>IF(EE64="","",RANK(EL64,EL6:EL65,0))</f>
        <v>49</v>
      </c>
      <c r="EN64" s="159"/>
      <c r="EO64" s="250"/>
      <c r="EP64" s="250"/>
      <c r="EQ64" s="992"/>
      <c r="EV64" s="1"/>
      <c r="EW64" s="1"/>
      <c r="EX64" s="1"/>
      <c r="EY64">
        <f>IF(FC64="","",FK64)</f>
        <v>50</v>
      </c>
      <c r="EZ64" s="1070"/>
      <c r="FA64" s="1073"/>
      <c r="FB64" s="793" t="s">
        <v>292</v>
      </c>
      <c r="FC64" s="732">
        <v>87</v>
      </c>
      <c r="FD64" s="732">
        <v>60</v>
      </c>
      <c r="FE64" s="732">
        <v>97</v>
      </c>
      <c r="FF64" s="732">
        <v>82</v>
      </c>
      <c r="FG64" s="732">
        <v>74</v>
      </c>
      <c r="FH64" s="733">
        <f>SUM(FC64:FG64)</f>
        <v>400</v>
      </c>
      <c r="FI64" s="734">
        <f>MAX(FC64:FG64)</f>
        <v>97</v>
      </c>
      <c r="FJ64" s="735">
        <f>SUM(FH64*1000)+FI64</f>
        <v>400097</v>
      </c>
      <c r="FK64" s="736">
        <f>IF(FC64="","",RANK(FJ64,FJ6:FJ65,0))</f>
        <v>50</v>
      </c>
      <c r="FL64" s="798"/>
      <c r="FM64" s="802"/>
      <c r="FN64" s="250"/>
      <c r="FO64" s="1041"/>
      <c r="FP64" s="1"/>
      <c r="FQ64" s="1"/>
      <c r="FR64" s="1"/>
      <c r="FS64" s="1"/>
      <c r="FT64" s="1"/>
      <c r="FU64" s="1"/>
      <c r="FW64" t="str">
        <f>IF(GA64="","",GI64)</f>
        <v/>
      </c>
      <c r="FX64" s="1043"/>
      <c r="FY64" s="983"/>
      <c r="FZ64" s="160"/>
      <c r="GA64" s="347"/>
      <c r="GB64" s="347"/>
      <c r="GC64" s="347"/>
      <c r="GD64" s="347"/>
      <c r="GE64" s="347"/>
      <c r="GF64" s="159">
        <f>SUM(GA64:GE64)</f>
        <v>0</v>
      </c>
      <c r="GG64" s="165">
        <f>MAX(GA64:GE64)</f>
        <v>0</v>
      </c>
      <c r="GH64" s="317">
        <f>SUM(GF64*1000)+GG64</f>
        <v>0</v>
      </c>
      <c r="GI64" s="320" t="str">
        <f>IF(GA64="","",RANK(GH64,GH6:GH70,0))</f>
        <v/>
      </c>
      <c r="GJ64" s="159"/>
      <c r="GK64" s="250"/>
      <c r="GL64" s="250"/>
      <c r="GM64" s="986"/>
      <c r="GR64" s="1"/>
    </row>
    <row r="65" spans="16:200" ht="12.75" customHeight="1">
      <c r="P65" s="1044"/>
      <c r="Q65" s="984"/>
      <c r="R65" s="173"/>
      <c r="S65" s="332">
        <f>SUM(S60:S64)</f>
        <v>589</v>
      </c>
      <c r="T65" s="333">
        <f>SUM(T60:T64)</f>
        <v>603</v>
      </c>
      <c r="U65" s="333">
        <f>SUM(U60:U64)</f>
        <v>633</v>
      </c>
      <c r="V65" s="333">
        <f>SUM(V60:V64)</f>
        <v>562</v>
      </c>
      <c r="W65" s="333">
        <f>SUM(W60:W64)</f>
        <v>574</v>
      </c>
      <c r="X65" s="322"/>
      <c r="Y65" s="322"/>
      <c r="Z65" s="322"/>
      <c r="AA65" s="322"/>
      <c r="AB65" s="323">
        <f>SUM(S65:W65)</f>
        <v>2961</v>
      </c>
      <c r="AC65" s="987"/>
      <c r="AL65" s="1044"/>
      <c r="AM65" s="984"/>
      <c r="AN65" s="173"/>
      <c r="AO65" s="332">
        <f>SUM(AO60:AO64)</f>
        <v>634</v>
      </c>
      <c r="AP65" s="333">
        <f>SUM(AP60:AP64)</f>
        <v>641</v>
      </c>
      <c r="AQ65" s="333">
        <f>SUM(AQ60:AQ64)</f>
        <v>636</v>
      </c>
      <c r="AR65" s="333">
        <f>SUM(AR60:AR64)</f>
        <v>721</v>
      </c>
      <c r="AS65" s="333">
        <f>SUM(AS60:AS64)</f>
        <v>603</v>
      </c>
      <c r="AT65" s="322"/>
      <c r="AU65" s="322"/>
      <c r="AV65" s="322"/>
      <c r="AW65" s="322"/>
      <c r="AX65" s="323">
        <f>SUM(AO65:AS65)</f>
        <v>3235</v>
      </c>
      <c r="AY65" s="987"/>
      <c r="BD65" s="1"/>
      <c r="BE65" s="1"/>
      <c r="BH65" s="1044"/>
      <c r="BI65" s="984"/>
      <c r="BJ65" s="173"/>
      <c r="BK65" s="332">
        <f>SUM(BK60:BK64)</f>
        <v>664</v>
      </c>
      <c r="BL65" s="333">
        <f>SUM(BL60:BL64)</f>
        <v>573</v>
      </c>
      <c r="BM65" s="333">
        <f>SUM(BM60:BM64)</f>
        <v>604</v>
      </c>
      <c r="BN65" s="333">
        <f>SUM(BN60:BN64)</f>
        <v>642</v>
      </c>
      <c r="BO65" s="333">
        <f>SUM(BO60:BO64)</f>
        <v>590</v>
      </c>
      <c r="BP65" s="322"/>
      <c r="BQ65" s="322"/>
      <c r="BR65" s="322"/>
      <c r="BS65" s="322"/>
      <c r="BT65" s="323">
        <f>SUM(BK65:BO65)</f>
        <v>3073</v>
      </c>
      <c r="BU65" s="163">
        <f>MAX(BK65:BO65)</f>
        <v>664</v>
      </c>
      <c r="BV65" s="163">
        <f>IF(BK60="","",SUM(BT65*10000)+BU65)</f>
        <v>30730664</v>
      </c>
      <c r="BW65" s="987"/>
      <c r="CB65" s="1"/>
      <c r="CC65" s="1"/>
      <c r="CF65" s="1044"/>
      <c r="CG65" s="984"/>
      <c r="CH65" s="173"/>
      <c r="CI65" s="332">
        <f>SUM(CI60:CI64)</f>
        <v>765</v>
      </c>
      <c r="CJ65" s="333">
        <f>SUM(CJ60:CJ64)</f>
        <v>747</v>
      </c>
      <c r="CK65" s="333">
        <f>SUM(CK60:CK64)</f>
        <v>657</v>
      </c>
      <c r="CL65" s="333">
        <f>SUM(CL60:CL64)</f>
        <v>712</v>
      </c>
      <c r="CM65" s="333">
        <f>SUM(CM60:CM64)</f>
        <v>693</v>
      </c>
      <c r="CN65" s="322"/>
      <c r="CO65" s="322"/>
      <c r="CP65" s="322"/>
      <c r="CQ65" s="322"/>
      <c r="CR65" s="323">
        <f>SUM(CI65:CM65)</f>
        <v>3574</v>
      </c>
      <c r="CS65" s="163">
        <f>MAX(CI65:CM65)</f>
        <v>765</v>
      </c>
      <c r="CT65" s="163">
        <f>IF(CI60="","",SUM(CR65*1000)+CS65)</f>
        <v>3574765</v>
      </c>
      <c r="CU65" s="987"/>
      <c r="CZ65" s="1"/>
      <c r="DA65" s="1"/>
      <c r="DD65" s="1044"/>
      <c r="DE65" s="990"/>
      <c r="DF65" s="173"/>
      <c r="DG65" s="332">
        <f>SUM(DG60:DG64)</f>
        <v>692</v>
      </c>
      <c r="DH65" s="333">
        <f>SUM(DH60:DH64)</f>
        <v>690</v>
      </c>
      <c r="DI65" s="333">
        <f>SUM(DI60:DI64)</f>
        <v>670</v>
      </c>
      <c r="DJ65" s="333">
        <f>SUM(DJ60:DJ64)</f>
        <v>629</v>
      </c>
      <c r="DK65" s="333">
        <f>SUM(DK60:DK64)</f>
        <v>706</v>
      </c>
      <c r="DL65" s="322"/>
      <c r="DM65" s="322"/>
      <c r="DN65" s="322"/>
      <c r="DO65" s="322"/>
      <c r="DP65" s="323">
        <f>SUM(DG65:DK65)</f>
        <v>3387</v>
      </c>
      <c r="DQ65" s="163">
        <f>MAX(DG65:DK65)</f>
        <v>706</v>
      </c>
      <c r="DR65" s="163">
        <f>IF(DG60="","",SUM(DP65*1000)+DQ65)</f>
        <v>3387706</v>
      </c>
      <c r="DS65" s="987"/>
      <c r="DX65" s="1"/>
      <c r="DY65" s="1"/>
      <c r="EB65" s="1044"/>
      <c r="EC65" s="1004"/>
      <c r="ED65" s="173"/>
      <c r="EE65" s="332">
        <f>SUM(EE60:EE64)</f>
        <v>558</v>
      </c>
      <c r="EF65" s="333">
        <f>SUM(EF60:EF64)</f>
        <v>621</v>
      </c>
      <c r="EG65" s="333">
        <f>SUM(EG60:EG64)</f>
        <v>636</v>
      </c>
      <c r="EH65" s="333">
        <f>SUM(EH60:EH64)</f>
        <v>717</v>
      </c>
      <c r="EI65" s="333">
        <f>SUM(EI60:EI64)</f>
        <v>611</v>
      </c>
      <c r="EJ65" s="322"/>
      <c r="EK65" s="322"/>
      <c r="EL65" s="322"/>
      <c r="EM65" s="322"/>
      <c r="EN65" s="323">
        <f>SUM(EE65:EI65)</f>
        <v>3143</v>
      </c>
      <c r="EO65" s="163">
        <f>MAX(EE65:EI65)</f>
        <v>717</v>
      </c>
      <c r="EP65" s="163">
        <f>IF(EE60="","",SUM(EN65*1000)+EO65)</f>
        <v>3143717</v>
      </c>
      <c r="EQ65" s="993"/>
      <c r="EV65" s="1"/>
      <c r="EW65" s="1"/>
      <c r="EX65" s="1"/>
      <c r="EZ65" s="1071"/>
      <c r="FA65" s="1074"/>
      <c r="FB65" s="739"/>
      <c r="FC65" s="740">
        <f>SUM(FC60:FC64)</f>
        <v>595</v>
      </c>
      <c r="FD65" s="740">
        <f>SUM(FD60:FD64)</f>
        <v>603</v>
      </c>
      <c r="FE65" s="740">
        <f>SUM(FE60:FE64)</f>
        <v>578</v>
      </c>
      <c r="FF65" s="740">
        <f>SUM(FF60:FF64)</f>
        <v>626</v>
      </c>
      <c r="FG65" s="740">
        <f>SUM(FG60:FG64)</f>
        <v>514</v>
      </c>
      <c r="FH65" s="741"/>
      <c r="FI65" s="742"/>
      <c r="FJ65" s="742"/>
      <c r="FK65" s="742"/>
      <c r="FL65" s="742">
        <f>SUM(FC65:FG65)</f>
        <v>2916</v>
      </c>
      <c r="FM65" s="803">
        <f>MAX(FC65:FG65)</f>
        <v>626</v>
      </c>
      <c r="FN65" s="743">
        <f>IF(FC60="","",SUM(FL65*1000)+FM65)</f>
        <v>2916626</v>
      </c>
      <c r="FO65" s="1041"/>
      <c r="FP65" s="1"/>
      <c r="FQ65" s="1"/>
      <c r="FR65" s="1"/>
      <c r="FS65" s="1"/>
      <c r="FT65" s="1"/>
      <c r="FU65" s="1"/>
      <c r="FX65" s="1044"/>
      <c r="FY65" s="984"/>
      <c r="FZ65" s="173"/>
      <c r="GA65" s="332">
        <f>SUM(GA60:GA64)</f>
        <v>0</v>
      </c>
      <c r="GB65" s="333">
        <f>SUM(GB60:GB64)</f>
        <v>0</v>
      </c>
      <c r="GC65" s="333">
        <f>SUM(GC60:GC64)</f>
        <v>0</v>
      </c>
      <c r="GD65" s="333">
        <f>SUM(GD60:GD64)</f>
        <v>0</v>
      </c>
      <c r="GE65" s="333">
        <f>SUM(GE60:GE64)</f>
        <v>0</v>
      </c>
      <c r="GF65" s="322"/>
      <c r="GG65" s="322"/>
      <c r="GH65" s="322"/>
      <c r="GI65" s="322"/>
      <c r="GJ65" s="323">
        <f>SUM(GA65:GE65)</f>
        <v>0</v>
      </c>
      <c r="GK65" s="163">
        <f>MAX(GA65:GE65)</f>
        <v>0</v>
      </c>
      <c r="GL65" s="163" t="str">
        <f>IF(GA60="","",SUM(GJ65*1000)+GK65)</f>
        <v/>
      </c>
      <c r="GM65" s="987"/>
      <c r="GR65" s="1"/>
    </row>
    <row r="66" spans="16:200">
      <c r="BI66" s="26"/>
      <c r="FW66" t="str">
        <f>IF(GA66="","",GI66)</f>
        <v/>
      </c>
      <c r="FX66" s="1042">
        <v>11</v>
      </c>
      <c r="FY66" s="982" t="s">
        <v>209</v>
      </c>
      <c r="FZ66" s="157"/>
      <c r="GA66" s="346"/>
      <c r="GB66" s="346"/>
      <c r="GC66" s="346"/>
      <c r="GD66" s="346"/>
      <c r="GE66" s="346"/>
      <c r="GF66" s="165">
        <f>SUM(GA66:GE66)</f>
        <v>0</v>
      </c>
      <c r="GG66" s="165">
        <f>MAX(GA66:GE66)</f>
        <v>0</v>
      </c>
      <c r="GH66" s="317">
        <f>SUM(GF66*1000)+GG66-0.01</f>
        <v>-0.01</v>
      </c>
      <c r="GI66" s="318" t="str">
        <f>IF(GA66="","",RANK(GH66,GH6:GH70,0))</f>
        <v/>
      </c>
      <c r="GJ66" s="175"/>
      <c r="GK66" s="252"/>
      <c r="GL66" s="252"/>
      <c r="GM66" s="985" t="str">
        <f>IF(GA66="","",RANK(GL71,GL11:GL71,0))</f>
        <v/>
      </c>
    </row>
    <row r="67" spans="16:200">
      <c r="FW67" t="str">
        <f>IF(GA67="","",GI67)</f>
        <v/>
      </c>
      <c r="FX67" s="1043"/>
      <c r="FY67" s="983"/>
      <c r="FZ67" s="160"/>
      <c r="GA67" s="347"/>
      <c r="GB67" s="347"/>
      <c r="GC67" s="347"/>
      <c r="GD67" s="347"/>
      <c r="GE67" s="347"/>
      <c r="GF67" s="159">
        <f>SUM(GA67:GE67)</f>
        <v>0</v>
      </c>
      <c r="GG67" s="165">
        <f>MAX(GA67:GE67)</f>
        <v>0</v>
      </c>
      <c r="GH67" s="317">
        <f>SUM(GF67*1000)+GG67-0.02</f>
        <v>-0.02</v>
      </c>
      <c r="GI67" s="320" t="str">
        <f>IF(GA67="","",RANK(GH67,GH6:GH70,0))</f>
        <v/>
      </c>
      <c r="GJ67" s="161"/>
      <c r="GK67" s="251"/>
      <c r="GL67" s="251"/>
      <c r="GM67" s="986"/>
    </row>
    <row r="68" spans="16:200">
      <c r="FW68" t="str">
        <f>IF(GA68="","",GI68)</f>
        <v/>
      </c>
      <c r="FX68" s="1043"/>
      <c r="FY68" s="983"/>
      <c r="FZ68" s="160"/>
      <c r="GA68" s="347"/>
      <c r="GB68" s="347"/>
      <c r="GC68" s="347"/>
      <c r="GD68" s="347"/>
      <c r="GE68" s="347"/>
      <c r="GF68" s="159">
        <f>SUM(GA68:GE68)</f>
        <v>0</v>
      </c>
      <c r="GG68" s="165">
        <f>MAX(GA68:GE68)</f>
        <v>0</v>
      </c>
      <c r="GH68" s="317">
        <f>SUM(GF68*1000)+GG68-0.03</f>
        <v>-0.03</v>
      </c>
      <c r="GI68" s="320" t="str">
        <f>IF(GA68="","",RANK(GH68,GH6:GH70,0))</f>
        <v/>
      </c>
      <c r="GJ68" s="161"/>
      <c r="GK68" s="251"/>
      <c r="GL68" s="251"/>
      <c r="GM68" s="986"/>
    </row>
    <row r="69" spans="16:200">
      <c r="FW69" t="str">
        <f>IF(GA69="","",GI69)</f>
        <v/>
      </c>
      <c r="FX69" s="1043"/>
      <c r="FY69" s="983"/>
      <c r="FZ69" s="160"/>
      <c r="GA69" s="347"/>
      <c r="GB69" s="347"/>
      <c r="GC69" s="347"/>
      <c r="GD69" s="347"/>
      <c r="GE69" s="347"/>
      <c r="GF69" s="159">
        <f>SUM(GA69:GE69)</f>
        <v>0</v>
      </c>
      <c r="GG69" s="165">
        <f>MAX(GA69:GE69)</f>
        <v>0</v>
      </c>
      <c r="GH69" s="317">
        <f>SUM(GF69*1000)+GG69-0.04</f>
        <v>-0.04</v>
      </c>
      <c r="GI69" s="320" t="str">
        <f>IF(GA69="","",RANK(GH69,GH6:GH70,0))</f>
        <v/>
      </c>
      <c r="GJ69" s="161"/>
      <c r="GK69" s="251"/>
      <c r="GL69" s="251"/>
      <c r="GM69" s="986"/>
    </row>
    <row r="70" spans="16:200">
      <c r="FW70" t="str">
        <f>IF(GA70="","",GI70)</f>
        <v/>
      </c>
      <c r="FX70" s="1043"/>
      <c r="FY70" s="983"/>
      <c r="FZ70" s="160"/>
      <c r="GA70" s="347"/>
      <c r="GB70" s="347"/>
      <c r="GC70" s="347"/>
      <c r="GD70" s="347"/>
      <c r="GE70" s="347"/>
      <c r="GF70" s="159">
        <f>SUM(GA70:GE70)</f>
        <v>0</v>
      </c>
      <c r="GG70" s="165">
        <f>MAX(GA70:GE70)</f>
        <v>0</v>
      </c>
      <c r="GH70" s="317">
        <f>SUM(GF70*1000)+GG70-0.05</f>
        <v>-0.05</v>
      </c>
      <c r="GI70" s="320" t="str">
        <f>IF(GA70="","",RANK(GH70,GH6:GH70,0))</f>
        <v/>
      </c>
      <c r="GJ70" s="159"/>
      <c r="GK70" s="250"/>
      <c r="GL70" s="250"/>
      <c r="GM70" s="986"/>
    </row>
    <row r="71" spans="16:200">
      <c r="FX71" s="1044"/>
      <c r="FY71" s="984"/>
      <c r="FZ71" s="173"/>
      <c r="GA71" s="332">
        <f>SUM(GA66:GA70)</f>
        <v>0</v>
      </c>
      <c r="GB71" s="333">
        <f>SUM(GB66:GB70)</f>
        <v>0</v>
      </c>
      <c r="GC71" s="333">
        <f>SUM(GC66:GC70)</f>
        <v>0</v>
      </c>
      <c r="GD71" s="333">
        <f>SUM(GD66:GD70)</f>
        <v>0</v>
      </c>
      <c r="GE71" s="333">
        <f>SUM(GE66:GE70)</f>
        <v>0</v>
      </c>
      <c r="GF71" s="322"/>
      <c r="GG71" s="322"/>
      <c r="GH71" s="322"/>
      <c r="GI71" s="322"/>
      <c r="GJ71" s="323">
        <f>SUM(GA71:GE71)</f>
        <v>0</v>
      </c>
      <c r="GK71" s="163">
        <f>MAX(GA71:GE71)</f>
        <v>0</v>
      </c>
      <c r="GL71" s="163" t="str">
        <f>IF(GA66="","",SUM(GJ71*1000)+GK71)</f>
        <v/>
      </c>
      <c r="GM71" s="987"/>
    </row>
  </sheetData>
  <mergeCells count="302">
    <mergeCell ref="FA18:FA23"/>
    <mergeCell ref="EZ24:EZ29"/>
    <mergeCell ref="FA24:FA29"/>
    <mergeCell ref="EZ42:EZ47"/>
    <mergeCell ref="EZ60:EZ65"/>
    <mergeCell ref="FA60:FA65"/>
    <mergeCell ref="FA54:FA59"/>
    <mergeCell ref="EZ54:EZ59"/>
    <mergeCell ref="J22:J23"/>
    <mergeCell ref="FO12:FO17"/>
    <mergeCell ref="FO18:FO23"/>
    <mergeCell ref="FO24:FO29"/>
    <mergeCell ref="FO30:FO35"/>
    <mergeCell ref="FO36:FO41"/>
    <mergeCell ref="EC30:EC35"/>
    <mergeCell ref="EZ12:EZ17"/>
    <mergeCell ref="FA12:FA17"/>
    <mergeCell ref="EZ18:EZ23"/>
    <mergeCell ref="FR5:FT5"/>
    <mergeCell ref="EX1:EX4"/>
    <mergeCell ref="B19:C20"/>
    <mergeCell ref="D19:D20"/>
    <mergeCell ref="EZ5:FA5"/>
    <mergeCell ref="FK5:FL5"/>
    <mergeCell ref="EZ6:EZ11"/>
    <mergeCell ref="FA6:FA11"/>
    <mergeCell ref="J19:J20"/>
    <mergeCell ref="EC18:EC23"/>
    <mergeCell ref="FX66:FX71"/>
    <mergeCell ref="FY66:FY71"/>
    <mergeCell ref="GM66:GM71"/>
    <mergeCell ref="EB60:EB65"/>
    <mergeCell ref="EC60:EC65"/>
    <mergeCell ref="EQ60:EQ65"/>
    <mergeCell ref="FX60:FX65"/>
    <mergeCell ref="DD60:DD65"/>
    <mergeCell ref="GM60:GM65"/>
    <mergeCell ref="DE60:DE65"/>
    <mergeCell ref="DS60:DS65"/>
    <mergeCell ref="BW60:BW65"/>
    <mergeCell ref="CF60:CF65"/>
    <mergeCell ref="CG60:CG65"/>
    <mergeCell ref="CU60:CU65"/>
    <mergeCell ref="FO60:FO65"/>
    <mergeCell ref="GM54:GM59"/>
    <mergeCell ref="P60:P65"/>
    <mergeCell ref="Q60:Q65"/>
    <mergeCell ref="AC60:AC65"/>
    <mergeCell ref="AL60:AL65"/>
    <mergeCell ref="AM60:AM65"/>
    <mergeCell ref="AY60:AY65"/>
    <mergeCell ref="BH60:BH65"/>
    <mergeCell ref="FY60:FY65"/>
    <mergeCell ref="BI60:BI65"/>
    <mergeCell ref="EC54:EC59"/>
    <mergeCell ref="EQ54:EQ59"/>
    <mergeCell ref="FX54:FX59"/>
    <mergeCell ref="FY54:FY59"/>
    <mergeCell ref="DD54:DD59"/>
    <mergeCell ref="DE54:DE59"/>
    <mergeCell ref="DS54:DS59"/>
    <mergeCell ref="EB54:EB59"/>
    <mergeCell ref="FO54:FO59"/>
    <mergeCell ref="BW54:BW59"/>
    <mergeCell ref="CF54:CF59"/>
    <mergeCell ref="CG54:CG59"/>
    <mergeCell ref="CU54:CU59"/>
    <mergeCell ref="AM54:AM59"/>
    <mergeCell ref="AY54:AY59"/>
    <mergeCell ref="BH54:BH59"/>
    <mergeCell ref="BI54:BI59"/>
    <mergeCell ref="P54:P59"/>
    <mergeCell ref="Q54:Q59"/>
    <mergeCell ref="AC54:AC59"/>
    <mergeCell ref="AL54:AL59"/>
    <mergeCell ref="EQ48:EQ53"/>
    <mergeCell ref="FX48:FX53"/>
    <mergeCell ref="CF48:CF53"/>
    <mergeCell ref="CG48:CG53"/>
    <mergeCell ref="CU48:CU53"/>
    <mergeCell ref="DD48:DD53"/>
    <mergeCell ref="FY48:FY53"/>
    <mergeCell ref="GM48:GM53"/>
    <mergeCell ref="DE48:DE53"/>
    <mergeCell ref="DS48:DS53"/>
    <mergeCell ref="EB48:EB53"/>
    <mergeCell ref="EC48:EC53"/>
    <mergeCell ref="FO48:FO53"/>
    <mergeCell ref="FA48:FA53"/>
    <mergeCell ref="EZ48:EZ53"/>
    <mergeCell ref="GM42:GM47"/>
    <mergeCell ref="P48:P53"/>
    <mergeCell ref="Q48:Q53"/>
    <mergeCell ref="AC48:AC53"/>
    <mergeCell ref="AL48:AL53"/>
    <mergeCell ref="AM48:AM53"/>
    <mergeCell ref="AY48:AY53"/>
    <mergeCell ref="BH48:BH53"/>
    <mergeCell ref="BI48:BI53"/>
    <mergeCell ref="BW48:BW53"/>
    <mergeCell ref="EC42:EC47"/>
    <mergeCell ref="EQ42:EQ47"/>
    <mergeCell ref="FX42:FX47"/>
    <mergeCell ref="FY42:FY47"/>
    <mergeCell ref="DD42:DD47"/>
    <mergeCell ref="DE42:DE47"/>
    <mergeCell ref="DS42:DS47"/>
    <mergeCell ref="EB42:EB47"/>
    <mergeCell ref="FO42:FO47"/>
    <mergeCell ref="FA42:FA47"/>
    <mergeCell ref="BW42:BW47"/>
    <mergeCell ref="CF42:CF47"/>
    <mergeCell ref="CG42:CG47"/>
    <mergeCell ref="CU42:CU47"/>
    <mergeCell ref="AM42:AM47"/>
    <mergeCell ref="AY42:AY47"/>
    <mergeCell ref="BH42:BH47"/>
    <mergeCell ref="BI42:BI47"/>
    <mergeCell ref="P42:P47"/>
    <mergeCell ref="Q42:Q47"/>
    <mergeCell ref="AC42:AC47"/>
    <mergeCell ref="AL42:AL47"/>
    <mergeCell ref="EQ36:EQ41"/>
    <mergeCell ref="FX36:FX41"/>
    <mergeCell ref="CF36:CF41"/>
    <mergeCell ref="CG36:CG41"/>
    <mergeCell ref="CU36:CU41"/>
    <mergeCell ref="DD36:DD41"/>
    <mergeCell ref="FY36:FY41"/>
    <mergeCell ref="GM36:GM41"/>
    <mergeCell ref="DE36:DE41"/>
    <mergeCell ref="DS36:DS41"/>
    <mergeCell ref="EB36:EB41"/>
    <mergeCell ref="EC36:EC41"/>
    <mergeCell ref="FA36:FA41"/>
    <mergeCell ref="EZ36:EZ41"/>
    <mergeCell ref="GM30:GM35"/>
    <mergeCell ref="P36:P41"/>
    <mergeCell ref="Q36:Q41"/>
    <mergeCell ref="AC36:AC41"/>
    <mergeCell ref="AL36:AL41"/>
    <mergeCell ref="AM36:AM41"/>
    <mergeCell ref="AY36:AY41"/>
    <mergeCell ref="BH36:BH41"/>
    <mergeCell ref="BI36:BI41"/>
    <mergeCell ref="BW36:BW41"/>
    <mergeCell ref="EQ30:EQ35"/>
    <mergeCell ref="FX30:FX35"/>
    <mergeCell ref="FY30:FY35"/>
    <mergeCell ref="DD30:DD35"/>
    <mergeCell ref="DE30:DE35"/>
    <mergeCell ref="DS30:DS35"/>
    <mergeCell ref="EB30:EB35"/>
    <mergeCell ref="EZ30:EZ35"/>
    <mergeCell ref="FA30:FA35"/>
    <mergeCell ref="BW30:BW35"/>
    <mergeCell ref="CF30:CF35"/>
    <mergeCell ref="CG30:CG35"/>
    <mergeCell ref="CU30:CU35"/>
    <mergeCell ref="AM30:AM35"/>
    <mergeCell ref="AY30:AY35"/>
    <mergeCell ref="BH30:BH35"/>
    <mergeCell ref="BI30:BI35"/>
    <mergeCell ref="P30:P35"/>
    <mergeCell ref="Q30:Q35"/>
    <mergeCell ref="AC30:AC35"/>
    <mergeCell ref="AL30:AL35"/>
    <mergeCell ref="EQ24:EQ29"/>
    <mergeCell ref="FX24:FX29"/>
    <mergeCell ref="CF24:CF29"/>
    <mergeCell ref="CG24:CG29"/>
    <mergeCell ref="CU24:CU29"/>
    <mergeCell ref="DD24:DD29"/>
    <mergeCell ref="FY24:FY29"/>
    <mergeCell ref="GM24:GM29"/>
    <mergeCell ref="DE24:DE29"/>
    <mergeCell ref="DS24:DS29"/>
    <mergeCell ref="EB24:EB29"/>
    <mergeCell ref="EC24:EC29"/>
    <mergeCell ref="BW24:BW29"/>
    <mergeCell ref="P12:P17"/>
    <mergeCell ref="F13:G14"/>
    <mergeCell ref="Q12:Q17"/>
    <mergeCell ref="Q18:Q23"/>
    <mergeCell ref="P18:P23"/>
    <mergeCell ref="AY24:AY29"/>
    <mergeCell ref="BH24:BH29"/>
    <mergeCell ref="BI24:BI29"/>
    <mergeCell ref="J16:J17"/>
    <mergeCell ref="GM18:GM23"/>
    <mergeCell ref="B23:C24"/>
    <mergeCell ref="P24:P29"/>
    <mergeCell ref="Q24:Q29"/>
    <mergeCell ref="AC24:AC29"/>
    <mergeCell ref="AL24:AL29"/>
    <mergeCell ref="AM24:AM29"/>
    <mergeCell ref="AL18:AL23"/>
    <mergeCell ref="AM18:AM23"/>
    <mergeCell ref="D17:D18"/>
    <mergeCell ref="EQ18:EQ23"/>
    <mergeCell ref="FX18:FX23"/>
    <mergeCell ref="FY18:FY23"/>
    <mergeCell ref="GM12:GM17"/>
    <mergeCell ref="B13:C14"/>
    <mergeCell ref="D13:D14"/>
    <mergeCell ref="B15:C16"/>
    <mergeCell ref="D15:D16"/>
    <mergeCell ref="B17:C18"/>
    <mergeCell ref="DD18:DD23"/>
    <mergeCell ref="AC12:AC17"/>
    <mergeCell ref="AL12:AL17"/>
    <mergeCell ref="AM12:AM17"/>
    <mergeCell ref="AY12:AY17"/>
    <mergeCell ref="BW18:BW23"/>
    <mergeCell ref="DD12:DD17"/>
    <mergeCell ref="FY6:FY11"/>
    <mergeCell ref="EB6:EB11"/>
    <mergeCell ref="EC6:EC11"/>
    <mergeCell ref="CG12:CG17"/>
    <mergeCell ref="BW12:BW17"/>
    <mergeCell ref="CF12:CF17"/>
    <mergeCell ref="DS12:DS17"/>
    <mergeCell ref="EB12:EB17"/>
    <mergeCell ref="EC12:EC17"/>
    <mergeCell ref="EQ12:EQ17"/>
    <mergeCell ref="DE18:DE23"/>
    <mergeCell ref="DS18:DS23"/>
    <mergeCell ref="EB18:EB23"/>
    <mergeCell ref="AC18:AC23"/>
    <mergeCell ref="AY18:AY23"/>
    <mergeCell ref="BH18:BH23"/>
    <mergeCell ref="BI18:BI23"/>
    <mergeCell ref="CF18:CF23"/>
    <mergeCell ref="CG18:CG23"/>
    <mergeCell ref="CU18:CU23"/>
    <mergeCell ref="GM6:GM11"/>
    <mergeCell ref="B7:C8"/>
    <mergeCell ref="D7:D8"/>
    <mergeCell ref="B9:C10"/>
    <mergeCell ref="D9:D10"/>
    <mergeCell ref="B11:C12"/>
    <mergeCell ref="D11:D12"/>
    <mergeCell ref="FX12:FX17"/>
    <mergeCell ref="FY12:FY17"/>
    <mergeCell ref="DS6:DS11"/>
    <mergeCell ref="DE12:DE17"/>
    <mergeCell ref="CU12:CU17"/>
    <mergeCell ref="BH6:BH11"/>
    <mergeCell ref="BW6:BW11"/>
    <mergeCell ref="BH12:BH17"/>
    <mergeCell ref="BI12:BI17"/>
    <mergeCell ref="FX6:FX11"/>
    <mergeCell ref="BI6:BI11"/>
    <mergeCell ref="CF6:CF11"/>
    <mergeCell ref="CG6:CG11"/>
    <mergeCell ref="CU6:CU11"/>
    <mergeCell ref="DD6:DD11"/>
    <mergeCell ref="DE6:DE11"/>
    <mergeCell ref="EQ6:EQ11"/>
    <mergeCell ref="FO6:FO11"/>
    <mergeCell ref="P6:P11"/>
    <mergeCell ref="Q6:Q11"/>
    <mergeCell ref="AC6:AC11"/>
    <mergeCell ref="AL6:AL11"/>
    <mergeCell ref="DD5:DE5"/>
    <mergeCell ref="AF5:AH5"/>
    <mergeCell ref="BZ5:CB5"/>
    <mergeCell ref="CX5:CZ5"/>
    <mergeCell ref="AM6:AM11"/>
    <mergeCell ref="AY6:AY11"/>
    <mergeCell ref="P5:Q5"/>
    <mergeCell ref="AA5:AB5"/>
    <mergeCell ref="AL5:AM5"/>
    <mergeCell ref="AW5:AX5"/>
    <mergeCell ref="BH5:BI5"/>
    <mergeCell ref="CQ5:CR5"/>
    <mergeCell ref="DD3:DX3"/>
    <mergeCell ref="N1:N4"/>
    <mergeCell ref="DZ1:DZ4"/>
    <mergeCell ref="AJ1:AJ4"/>
    <mergeCell ref="BF1:BF4"/>
    <mergeCell ref="DB1:DB4"/>
    <mergeCell ref="ET5:EV5"/>
    <mergeCell ref="BS5:BT5"/>
    <mergeCell ref="CF5:CG5"/>
    <mergeCell ref="DO5:DP5"/>
    <mergeCell ref="EB5:EC5"/>
    <mergeCell ref="B3:I4"/>
    <mergeCell ref="P3:AH3"/>
    <mergeCell ref="AL3:BD3"/>
    <mergeCell ref="BH3:CB3"/>
    <mergeCell ref="CF3:CZ3"/>
    <mergeCell ref="FV1:FV4"/>
    <mergeCell ref="CD1:CD4"/>
    <mergeCell ref="EB3:EV3"/>
    <mergeCell ref="GP5:GR5"/>
    <mergeCell ref="BB5:BD5"/>
    <mergeCell ref="FX3:GR3"/>
    <mergeCell ref="EM5:EN5"/>
    <mergeCell ref="GI5:GJ5"/>
    <mergeCell ref="FX5:FY5"/>
    <mergeCell ref="DV5:DX5"/>
  </mergeCells>
  <phoneticPr fontId="0" type="noConversion"/>
  <conditionalFormatting sqref="AY6:AY65 AC6:AC65">
    <cfRule type="cellIs" dxfId="5" priority="31" stopIfTrue="1" operator="equal">
      <formula>3</formula>
    </cfRule>
    <cfRule type="cellIs" dxfId="4" priority="32" stopIfTrue="1" operator="equal">
      <formula>2</formula>
    </cfRule>
    <cfRule type="cellIs" dxfId="3" priority="33" stopIfTrue="1" operator="equal">
      <formula>1</formula>
    </cfRule>
  </conditionalFormatting>
  <conditionalFormatting sqref="GM6:GM71 BW6:BW65 CU6:CU65 DS6:DS65 EQ6:EQ65 FO6:FO12 FO18 FO54 FO24 FO30 FO36 FO42 FO48 FO60">
    <cfRule type="cellIs" dxfId="2" priority="25" stopIfTrue="1" operator="equal">
      <formula>3</formula>
    </cfRule>
    <cfRule type="cellIs" dxfId="1" priority="26" stopIfTrue="1" operator="equal">
      <formula>2</formula>
    </cfRule>
    <cfRule type="cellIs" dxfId="0" priority="27" stopIfTrue="1" operator="equal">
      <formula>1</formula>
    </cfRule>
  </conditionalFormatting>
  <hyperlinks>
    <hyperlink ref="B7:C8" location="turnaje!AH1" display="PV OSZO"/>
    <hyperlink ref="N1:N2" location="turnaje!A1" display="ZPĚT"/>
    <hyperlink ref="AJ1:AJ2" location="turnaje!A1" display="ZPĚT"/>
    <hyperlink ref="B9:C10" location="turnaje!BD1" display="KLÍČOV"/>
    <hyperlink ref="DZ1:DZ2" location="turnaje!A1" display="ZPĚT"/>
    <hyperlink ref="BF1:BF2" location="turnaje!A1" display="ZPĚT"/>
    <hyperlink ref="B11:C12" location="turnaje!CB1" display="ŘEPY"/>
    <hyperlink ref="CD1:CD2" location="turnaje!A1" display="ZPĚT"/>
    <hyperlink ref="B13:C14" location="turnaje!CZ1" display="HOSTIVAŘ"/>
    <hyperlink ref="DB1:DB2" location="turnaje!A1" display="ZPĚT"/>
    <hyperlink ref="B15:C16" location="turnaje!DX1" display="KAČEROV"/>
    <hyperlink ref="B17:C18" location="turnaje!EV1" display="VRŠOVICE"/>
    <hyperlink ref="FV1:FV2" location="turnaje!A1" display="ZPĚT"/>
    <hyperlink ref="B23:C24" location="turnaje!GR1" display="PRO PŘÍPAD            11 DRUŽSTEV"/>
    <hyperlink ref="J16:J17" location="jednotlivci!A1" display="jednotlivci"/>
    <hyperlink ref="J19:J20" location="'stat. celkem'!A1" display="stat. celkem"/>
    <hyperlink ref="J22:J23" location="garáže!A1" display="garáže"/>
    <hyperlink ref="EX1:EX4" location="turnaje!A1" display="ZPĚT"/>
    <hyperlink ref="B19:C20" location="turnaje!FT1" display="POHÁR GŘ"/>
  </hyperlinks>
  <pageMargins left="0.28999999999999998" right="0.27" top="0.35433070866141736" bottom="0.35433070866141736" header="0.31496062992125984" footer="0.31496062992125984"/>
  <pageSetup paperSize="9" orientation="landscape" horizontalDpi="429496729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6" enableFormatConditionsCalculation="0">
    <tabColor indexed="40"/>
  </sheetPr>
  <dimension ref="A1:AW126"/>
  <sheetViews>
    <sheetView showGridLines="0" workbookViewId="0">
      <pane xSplit="2" ySplit="1" topLeftCell="H2" activePane="bottomRight" state="frozen"/>
      <selection pane="topRight" activeCell="C1" sqref="C1"/>
      <selection pane="bottomLeft" activeCell="A2" sqref="A2"/>
      <selection pane="bottomRight" activeCell="AW8" sqref="AW8"/>
    </sheetView>
  </sheetViews>
  <sheetFormatPr defaultColWidth="9.140625" defaultRowHeight="14.25"/>
  <cols>
    <col min="1" max="1" width="8" style="427" bestFit="1" customWidth="1"/>
    <col min="2" max="2" width="22.28515625" style="30" customWidth="1"/>
    <col min="3" max="7" width="4.7109375" style="26" hidden="1" customWidth="1"/>
    <col min="8" max="8" width="5.7109375" style="26" customWidth="1"/>
    <col min="9" max="13" width="4.7109375" style="36" hidden="1" customWidth="1"/>
    <col min="14" max="14" width="5.7109375" style="36" customWidth="1"/>
    <col min="15" max="19" width="4.7109375" style="36" hidden="1" customWidth="1"/>
    <col min="20" max="20" width="5.7109375" style="36" customWidth="1"/>
    <col min="21" max="25" width="4.7109375" style="36" hidden="1" customWidth="1"/>
    <col min="26" max="26" width="5.7109375" style="36" customWidth="1"/>
    <col min="27" max="31" width="4.7109375" style="36" hidden="1" customWidth="1"/>
    <col min="32" max="32" width="5.7109375" style="36" customWidth="1"/>
    <col min="33" max="37" width="4.7109375" style="36" hidden="1" customWidth="1"/>
    <col min="38" max="38" width="5.7109375" style="36" customWidth="1"/>
    <col min="39" max="43" width="4.7109375" style="36" hidden="1" customWidth="1"/>
    <col min="44" max="44" width="5.7109375" style="36" customWidth="1"/>
    <col min="45" max="45" width="9.140625" style="26"/>
    <col min="46" max="46" width="5" style="26" customWidth="1"/>
    <col min="47" max="47" width="11.85546875" style="26" bestFit="1" customWidth="1"/>
    <col min="48" max="16384" width="9.140625" style="26"/>
  </cols>
  <sheetData>
    <row r="1" spans="1:49" ht="19.5" customHeight="1">
      <c r="A1" s="429" t="s">
        <v>47</v>
      </c>
      <c r="B1" s="430" t="s">
        <v>268</v>
      </c>
      <c r="C1" s="1075"/>
      <c r="D1" s="1076"/>
      <c r="E1" s="1076"/>
      <c r="F1" s="1076"/>
      <c r="G1" s="1077"/>
      <c r="H1" s="431" t="s">
        <v>49</v>
      </c>
      <c r="I1" s="1078"/>
      <c r="J1" s="1079"/>
      <c r="K1" s="1079"/>
      <c r="L1" s="1079"/>
      <c r="M1" s="1080"/>
      <c r="N1" s="432" t="s">
        <v>50</v>
      </c>
      <c r="O1" s="1075"/>
      <c r="P1" s="1076"/>
      <c r="Q1" s="1076"/>
      <c r="R1" s="1076"/>
      <c r="S1" s="1077"/>
      <c r="T1" s="432" t="s">
        <v>54</v>
      </c>
      <c r="U1" s="1081"/>
      <c r="V1" s="1082"/>
      <c r="W1" s="1082"/>
      <c r="X1" s="1082"/>
      <c r="Y1" s="1083"/>
      <c r="Z1" s="432" t="s">
        <v>55</v>
      </c>
      <c r="AA1" s="1081"/>
      <c r="AB1" s="1082"/>
      <c r="AC1" s="1082"/>
      <c r="AD1" s="1082"/>
      <c r="AE1" s="1083"/>
      <c r="AF1" s="432" t="s">
        <v>56</v>
      </c>
      <c r="AG1" s="1075"/>
      <c r="AH1" s="1076"/>
      <c r="AI1" s="1076"/>
      <c r="AJ1" s="1076"/>
      <c r="AK1" s="1077"/>
      <c r="AL1" s="432" t="s">
        <v>57</v>
      </c>
      <c r="AM1" s="1075"/>
      <c r="AN1" s="1076"/>
      <c r="AO1" s="1076"/>
      <c r="AP1" s="1076"/>
      <c r="AQ1" s="1077"/>
      <c r="AR1" s="432" t="s">
        <v>58</v>
      </c>
      <c r="AS1" s="433" t="s">
        <v>48</v>
      </c>
      <c r="AT1" s="434"/>
      <c r="AU1" s="435" t="s">
        <v>51</v>
      </c>
    </row>
    <row r="2" spans="1:49" s="30" customFormat="1" ht="15">
      <c r="A2" s="436" t="s">
        <v>40</v>
      </c>
      <c r="B2" s="406" t="s">
        <v>43</v>
      </c>
      <c r="C2" s="41"/>
      <c r="D2" s="41"/>
      <c r="E2" s="41"/>
      <c r="F2" s="41"/>
      <c r="G2" s="42"/>
      <c r="H2" s="492">
        <f>SUM(C2+D2+E2+F2+G2)</f>
        <v>0</v>
      </c>
      <c r="I2" s="512"/>
      <c r="J2" s="512"/>
      <c r="K2" s="512"/>
      <c r="L2" s="512"/>
      <c r="M2" s="512"/>
      <c r="N2" s="492">
        <f>SUM(I2+J2+K2+L2+M2)</f>
        <v>0</v>
      </c>
      <c r="O2" s="497"/>
      <c r="P2" s="497"/>
      <c r="Q2" s="497"/>
      <c r="R2" s="497"/>
      <c r="S2" s="497"/>
      <c r="T2" s="492">
        <f>SUM(O2+P2+Q2+R2+S2)</f>
        <v>0</v>
      </c>
      <c r="U2" s="502"/>
      <c r="V2" s="502"/>
      <c r="W2" s="502"/>
      <c r="X2" s="502"/>
      <c r="Y2" s="502"/>
      <c r="Z2" s="492">
        <f>SUM(U2+V2+W2+X2+Y2)</f>
        <v>0</v>
      </c>
      <c r="AA2" s="502"/>
      <c r="AB2" s="502"/>
      <c r="AC2" s="502"/>
      <c r="AD2" s="502"/>
      <c r="AE2" s="502"/>
      <c r="AF2" s="492">
        <f>SUM(AA2+AB2+AC2+AD2+AE2)</f>
        <v>0</v>
      </c>
      <c r="AG2" s="497"/>
      <c r="AH2" s="497"/>
      <c r="AI2" s="497"/>
      <c r="AJ2" s="497"/>
      <c r="AK2" s="497"/>
      <c r="AL2" s="492">
        <f>SUM(AG2+AH2+AI2+AJ2+AK2)</f>
        <v>0</v>
      </c>
      <c r="AM2" s="497"/>
      <c r="AN2" s="497"/>
      <c r="AO2" s="497"/>
      <c r="AP2" s="497"/>
      <c r="AQ2" s="497"/>
      <c r="AR2" s="492">
        <f>SUM(AM2+AN2+AO2+AP2+AQ2)</f>
        <v>0</v>
      </c>
      <c r="AS2" s="44">
        <f>SUM(N2,H2,T2,Z2,AF2,AL2,AR2)</f>
        <v>0</v>
      </c>
      <c r="AT2" s="29">
        <f>COUNT(C2:G2,I2:M2,O2:S2,U2:Y2,AA2:AE2,AG2:AK2,AM2:AQ2)</f>
        <v>0</v>
      </c>
      <c r="AU2" s="516" t="str">
        <f>IF(AT2=0,"",AS2/AT2)</f>
        <v/>
      </c>
    </row>
    <row r="3" spans="1:49" s="30" customFormat="1" ht="15">
      <c r="A3" s="436" t="s">
        <v>40</v>
      </c>
      <c r="B3" s="406" t="s">
        <v>45</v>
      </c>
      <c r="C3" s="41"/>
      <c r="D3" s="41"/>
      <c r="E3" s="41"/>
      <c r="F3" s="41"/>
      <c r="G3" s="43"/>
      <c r="H3" s="492">
        <f>SUM(C3+D3+E3+F3+G3)</f>
        <v>0</v>
      </c>
      <c r="I3" s="512"/>
      <c r="J3" s="512"/>
      <c r="K3" s="512"/>
      <c r="L3" s="512"/>
      <c r="M3" s="512"/>
      <c r="N3" s="509">
        <f>SUM(I3:M3)</f>
        <v>0</v>
      </c>
      <c r="O3" s="497"/>
      <c r="P3" s="497"/>
      <c r="Q3" s="497"/>
      <c r="R3" s="497"/>
      <c r="S3" s="497"/>
      <c r="T3" s="509">
        <f>SUM(O3:S3)</f>
        <v>0</v>
      </c>
      <c r="U3" s="502"/>
      <c r="V3" s="502"/>
      <c r="W3" s="502"/>
      <c r="X3" s="502"/>
      <c r="Y3" s="502"/>
      <c r="Z3" s="492">
        <f>SUM(U3:Y3)</f>
        <v>0</v>
      </c>
      <c r="AA3" s="495"/>
      <c r="AB3" s="495"/>
      <c r="AC3" s="495"/>
      <c r="AD3" s="495"/>
      <c r="AE3" s="495"/>
      <c r="AF3" s="509">
        <f>SUM(AA3:AE3)</f>
        <v>0</v>
      </c>
      <c r="AG3" s="497"/>
      <c r="AH3" s="497"/>
      <c r="AI3" s="497"/>
      <c r="AJ3" s="497"/>
      <c r="AK3" s="497"/>
      <c r="AL3" s="509">
        <f>SUM(AG3:AK3)</f>
        <v>0</v>
      </c>
      <c r="AM3" s="497"/>
      <c r="AN3" s="497"/>
      <c r="AO3" s="497"/>
      <c r="AP3" s="497"/>
      <c r="AQ3" s="497"/>
      <c r="AR3" s="509">
        <f>SUM(AM3:AQ3)</f>
        <v>0</v>
      </c>
      <c r="AS3" s="44">
        <f>SUM(N3,H3,T3,Z3,AF3,AL3,AR3)</f>
        <v>0</v>
      </c>
      <c r="AT3" s="29">
        <f>COUNT(C3:G3,I3:M3,O3:S3,U3:Y3,AA3:AE3,AG3:AK3,AM3:AQ3)</f>
        <v>0</v>
      </c>
      <c r="AU3" s="516" t="str">
        <f>IF(AT3=0,"",AS3/AT3)</f>
        <v/>
      </c>
    </row>
    <row r="4" spans="1:49" s="30" customFormat="1" ht="15">
      <c r="A4" s="436" t="s">
        <v>40</v>
      </c>
      <c r="B4" s="406" t="s">
        <v>62</v>
      </c>
      <c r="C4" s="41"/>
      <c r="D4" s="41"/>
      <c r="E4" s="41"/>
      <c r="F4" s="41"/>
      <c r="G4" s="43"/>
      <c r="H4" s="492">
        <f>SUM(C4+D4+E4+F4+G4)</f>
        <v>0</v>
      </c>
      <c r="I4" s="512"/>
      <c r="J4" s="512"/>
      <c r="K4" s="512"/>
      <c r="L4" s="512"/>
      <c r="M4" s="512"/>
      <c r="N4" s="492">
        <f>SUM(I4:M4)</f>
        <v>0</v>
      </c>
      <c r="O4" s="513"/>
      <c r="P4" s="513"/>
      <c r="Q4" s="513"/>
      <c r="R4" s="513"/>
      <c r="S4" s="513"/>
      <c r="T4" s="492">
        <f>SUM(O4:S4)</f>
        <v>0</v>
      </c>
      <c r="U4" s="501"/>
      <c r="V4" s="501"/>
      <c r="W4" s="501"/>
      <c r="X4" s="501"/>
      <c r="Y4" s="501"/>
      <c r="Z4" s="492">
        <f>SUM(U4:Y4)</f>
        <v>0</v>
      </c>
      <c r="AA4" s="501"/>
      <c r="AB4" s="501"/>
      <c r="AC4" s="501"/>
      <c r="AD4" s="501"/>
      <c r="AE4" s="501"/>
      <c r="AF4" s="492">
        <f>SUM(AA4:AE4)</f>
        <v>0</v>
      </c>
      <c r="AG4" s="497"/>
      <c r="AH4" s="497"/>
      <c r="AI4" s="497"/>
      <c r="AJ4" s="497"/>
      <c r="AK4" s="497"/>
      <c r="AL4" s="492">
        <f>SUM(AG4:AK4)</f>
        <v>0</v>
      </c>
      <c r="AM4" s="497"/>
      <c r="AN4" s="497"/>
      <c r="AO4" s="497"/>
      <c r="AP4" s="497"/>
      <c r="AQ4" s="497"/>
      <c r="AR4" s="492">
        <f>SUM(AM4:AQ4)</f>
        <v>0</v>
      </c>
      <c r="AS4" s="44">
        <f>SUM(N4,H4,T4,Z4,AF4,AL4,AR4)</f>
        <v>0</v>
      </c>
      <c r="AT4" s="29">
        <f>COUNT(C4:G4,I4:M4,O4:S4,U4:Y4,AA4:AE4,AG4:AK4,AM4:AQ4)</f>
        <v>0</v>
      </c>
      <c r="AU4" s="516" t="str">
        <f>IF(AT4=0,"",AS4/AT4)</f>
        <v/>
      </c>
      <c r="AV4" s="30" t="s">
        <v>20</v>
      </c>
    </row>
    <row r="5" spans="1:49" s="30" customFormat="1" ht="15">
      <c r="A5" s="436" t="s">
        <v>40</v>
      </c>
      <c r="B5" s="406" t="s">
        <v>63</v>
      </c>
      <c r="C5" s="41"/>
      <c r="D5" s="41"/>
      <c r="E5" s="41"/>
      <c r="F5" s="41"/>
      <c r="G5" s="43"/>
      <c r="H5" s="492">
        <f>SUM(C5+D5+E5+F5+G5)</f>
        <v>0</v>
      </c>
      <c r="I5" s="512"/>
      <c r="J5" s="512"/>
      <c r="K5" s="512"/>
      <c r="L5" s="512"/>
      <c r="M5" s="512"/>
      <c r="N5" s="492">
        <f>SUM(I5:M5)</f>
        <v>0</v>
      </c>
      <c r="O5" s="513"/>
      <c r="P5" s="513"/>
      <c r="Q5" s="513"/>
      <c r="R5" s="513"/>
      <c r="S5" s="513"/>
      <c r="T5" s="492">
        <f>SUM(O5:S5)</f>
        <v>0</v>
      </c>
      <c r="U5" s="501"/>
      <c r="V5" s="501"/>
      <c r="W5" s="501"/>
      <c r="X5" s="501"/>
      <c r="Y5" s="501"/>
      <c r="Z5" s="492">
        <f>SUM(U5:Y5)</f>
        <v>0</v>
      </c>
      <c r="AA5" s="495"/>
      <c r="AB5" s="495"/>
      <c r="AC5" s="495"/>
      <c r="AD5" s="495"/>
      <c r="AE5" s="495"/>
      <c r="AF5" s="492">
        <f>SUM(AA5:AE5)</f>
        <v>0</v>
      </c>
      <c r="AG5" s="497"/>
      <c r="AH5" s="497"/>
      <c r="AI5" s="497"/>
      <c r="AJ5" s="497"/>
      <c r="AK5" s="497"/>
      <c r="AL5" s="492">
        <f>SUM(AG5:AK5)</f>
        <v>0</v>
      </c>
      <c r="AM5" s="497"/>
      <c r="AN5" s="497"/>
      <c r="AO5" s="497"/>
      <c r="AP5" s="497"/>
      <c r="AQ5" s="497"/>
      <c r="AR5" s="492">
        <f>SUM(AM5:AQ5)</f>
        <v>0</v>
      </c>
      <c r="AS5" s="44">
        <f>SUM(N5,H5,T5,Z5,AF5,AL5,AR5)</f>
        <v>0</v>
      </c>
      <c r="AT5" s="29">
        <f>COUNT(C5:G5,I5:M5,O5:S5,U5:Y5,AA5:AE5,AG5:AK5,AM5:AQ5)</f>
        <v>0</v>
      </c>
      <c r="AU5" s="516" t="str">
        <f>IF(AT5=0,"",AS5/AT5)</f>
        <v/>
      </c>
    </row>
    <row r="6" spans="1:49" s="30" customFormat="1" ht="15">
      <c r="A6" s="436" t="s">
        <v>40</v>
      </c>
      <c r="B6" s="406" t="s">
        <v>71</v>
      </c>
      <c r="C6" s="41"/>
      <c r="D6" s="41"/>
      <c r="E6" s="41"/>
      <c r="F6" s="41"/>
      <c r="G6" s="43"/>
      <c r="H6" s="492">
        <f>SUM(C6+D6+E6+F6+G6)</f>
        <v>0</v>
      </c>
      <c r="I6" s="512"/>
      <c r="J6" s="512"/>
      <c r="K6" s="512"/>
      <c r="L6" s="512"/>
      <c r="M6" s="512"/>
      <c r="N6" s="492">
        <f>SUM(I6:M6)</f>
        <v>0</v>
      </c>
      <c r="O6" s="513"/>
      <c r="P6" s="513"/>
      <c r="Q6" s="513"/>
      <c r="R6" s="513"/>
      <c r="S6" s="513"/>
      <c r="T6" s="492">
        <f>SUM(O6:S6)</f>
        <v>0</v>
      </c>
      <c r="U6" s="501"/>
      <c r="V6" s="501"/>
      <c r="W6" s="501"/>
      <c r="X6" s="501"/>
      <c r="Y6" s="501"/>
      <c r="Z6" s="492">
        <f>SUM(U6:Y6)</f>
        <v>0</v>
      </c>
      <c r="AA6" s="508"/>
      <c r="AB6" s="508"/>
      <c r="AC6" s="508"/>
      <c r="AD6" s="508"/>
      <c r="AE6" s="508"/>
      <c r="AF6" s="492">
        <f>SUM(AA6:AE6)</f>
        <v>0</v>
      </c>
      <c r="AG6" s="497"/>
      <c r="AH6" s="497"/>
      <c r="AI6" s="497"/>
      <c r="AJ6" s="497"/>
      <c r="AK6" s="497"/>
      <c r="AL6" s="492">
        <f>SUM(AG6:AK6)</f>
        <v>0</v>
      </c>
      <c r="AM6" s="497"/>
      <c r="AN6" s="497"/>
      <c r="AO6" s="497"/>
      <c r="AP6" s="497"/>
      <c r="AQ6" s="497"/>
      <c r="AR6" s="492">
        <f>SUM(AM6:AQ6)</f>
        <v>0</v>
      </c>
      <c r="AS6" s="44">
        <f>SUM(N6,H6,T6,Z6,AF6,AL6,AR6)</f>
        <v>0</v>
      </c>
      <c r="AT6" s="29">
        <f>COUNT(C6:G6,I6:M6,O6:S6,U6:Y6,AA6:AE6,AG6:AK6,AM6:AQ6)</f>
        <v>0</v>
      </c>
      <c r="AU6" s="516" t="str">
        <f>IF(AT6=0,"",AS6/AT6)</f>
        <v/>
      </c>
    </row>
    <row r="7" spans="1:49" s="30" customFormat="1" ht="15">
      <c r="A7" s="436"/>
      <c r="B7" s="406"/>
      <c r="C7" s="35"/>
      <c r="D7" s="34"/>
      <c r="E7" s="34"/>
      <c r="F7" s="34"/>
      <c r="G7" s="34"/>
      <c r="H7" s="492"/>
      <c r="I7" s="512"/>
      <c r="J7" s="512"/>
      <c r="K7" s="512"/>
      <c r="L7" s="512"/>
      <c r="M7" s="512"/>
      <c r="N7" s="509"/>
      <c r="O7" s="515"/>
      <c r="P7" s="515"/>
      <c r="Q7" s="515"/>
      <c r="R7" s="515"/>
      <c r="S7" s="515"/>
      <c r="T7" s="509"/>
      <c r="U7" s="501"/>
      <c r="V7" s="501"/>
      <c r="W7" s="501"/>
      <c r="X7" s="501"/>
      <c r="Y7" s="501"/>
      <c r="Z7" s="509"/>
      <c r="AA7" s="501"/>
      <c r="AB7" s="501"/>
      <c r="AC7" s="501"/>
      <c r="AD7" s="501"/>
      <c r="AE7" s="501"/>
      <c r="AF7" s="509"/>
      <c r="AG7" s="497"/>
      <c r="AH7" s="497"/>
      <c r="AI7" s="497"/>
      <c r="AJ7" s="497"/>
      <c r="AK7" s="497"/>
      <c r="AL7" s="509"/>
      <c r="AM7" s="497"/>
      <c r="AN7" s="497"/>
      <c r="AO7" s="497"/>
      <c r="AP7" s="497"/>
      <c r="AQ7" s="497"/>
      <c r="AR7" s="509"/>
      <c r="AS7" s="28"/>
      <c r="AT7" s="29"/>
      <c r="AU7" s="516"/>
    </row>
    <row r="8" spans="1:49" s="30" customFormat="1" ht="15.75" thickBot="1">
      <c r="A8" s="437"/>
      <c r="B8" s="438"/>
      <c r="C8" s="439"/>
      <c r="D8" s="439"/>
      <c r="E8" s="439"/>
      <c r="F8" s="439"/>
      <c r="G8" s="439"/>
      <c r="H8" s="440"/>
      <c r="I8" s="439"/>
      <c r="J8" s="439"/>
      <c r="K8" s="439"/>
      <c r="L8" s="439"/>
      <c r="M8" s="439"/>
      <c r="N8" s="441"/>
      <c r="O8" s="441"/>
      <c r="P8" s="441"/>
      <c r="Q8" s="441"/>
      <c r="R8" s="441"/>
      <c r="S8" s="441"/>
      <c r="T8" s="441"/>
      <c r="U8" s="442"/>
      <c r="V8" s="442"/>
      <c r="W8" s="442"/>
      <c r="X8" s="442"/>
      <c r="Y8" s="442"/>
      <c r="Z8" s="441"/>
      <c r="AA8" s="442"/>
      <c r="AB8" s="442"/>
      <c r="AC8" s="442"/>
      <c r="AD8" s="442"/>
      <c r="AE8" s="442"/>
      <c r="AF8" s="441"/>
      <c r="AG8" s="441"/>
      <c r="AH8" s="441"/>
      <c r="AI8" s="441"/>
      <c r="AJ8" s="441"/>
      <c r="AK8" s="441"/>
      <c r="AL8" s="441"/>
      <c r="AM8" s="441"/>
      <c r="AN8" s="441"/>
      <c r="AO8" s="441"/>
      <c r="AP8" s="441"/>
      <c r="AQ8" s="441"/>
      <c r="AR8" s="441"/>
      <c r="AS8" s="441">
        <f>SUM(AS2:AS7)</f>
        <v>0</v>
      </c>
      <c r="AT8" s="441">
        <f>SUM(AT2:AT7)</f>
        <v>0</v>
      </c>
      <c r="AU8" s="443" t="str">
        <f>IF(AT8=0,"",AS8/AT8)</f>
        <v/>
      </c>
      <c r="AW8" s="428"/>
    </row>
    <row r="9" spans="1:49" s="30" customFormat="1" ht="15.75" thickBot="1">
      <c r="A9" s="444"/>
      <c r="B9" s="445"/>
      <c r="C9" s="446"/>
      <c r="D9" s="446"/>
      <c r="E9" s="446"/>
      <c r="F9" s="446"/>
      <c r="G9" s="446"/>
      <c r="H9" s="447"/>
      <c r="I9" s="446"/>
      <c r="J9" s="446"/>
      <c r="K9" s="446"/>
      <c r="L9" s="446"/>
      <c r="M9" s="446"/>
      <c r="N9" s="447"/>
      <c r="O9" s="447"/>
      <c r="P9" s="447"/>
      <c r="Q9" s="447"/>
      <c r="R9" s="447"/>
      <c r="S9" s="447"/>
      <c r="T9" s="447"/>
      <c r="U9" s="448"/>
      <c r="V9" s="448"/>
      <c r="W9" s="448"/>
      <c r="X9" s="448"/>
      <c r="Y9" s="448"/>
      <c r="Z9" s="447"/>
      <c r="AA9" s="448"/>
      <c r="AB9" s="448"/>
      <c r="AC9" s="448"/>
      <c r="AD9" s="448"/>
      <c r="AE9" s="448"/>
      <c r="AF9" s="447"/>
      <c r="AG9" s="447"/>
      <c r="AH9" s="447"/>
      <c r="AI9" s="447"/>
      <c r="AJ9" s="447"/>
      <c r="AK9" s="447"/>
      <c r="AL9" s="447"/>
      <c r="AM9" s="447"/>
      <c r="AN9" s="447"/>
      <c r="AO9" s="447"/>
      <c r="AP9" s="447"/>
      <c r="AQ9" s="447"/>
      <c r="AR9" s="447"/>
      <c r="AS9" s="447"/>
      <c r="AT9" s="447"/>
      <c r="AU9" s="449"/>
    </row>
    <row r="10" spans="1:49" s="30" customFormat="1" ht="15">
      <c r="A10" s="450" t="s">
        <v>17</v>
      </c>
      <c r="B10" s="451" t="s">
        <v>2</v>
      </c>
      <c r="C10" s="452">
        <v>188</v>
      </c>
      <c r="D10" s="452">
        <v>156</v>
      </c>
      <c r="E10" s="452">
        <v>153</v>
      </c>
      <c r="F10" s="452">
        <v>231</v>
      </c>
      <c r="G10" s="452">
        <v>200</v>
      </c>
      <c r="H10" s="489">
        <f t="shared" ref="H10:H28" si="0">SUM(C10+D10+E10+F10+G10)</f>
        <v>928</v>
      </c>
      <c r="I10" s="490">
        <v>168</v>
      </c>
      <c r="J10" s="490">
        <v>181</v>
      </c>
      <c r="K10" s="490">
        <v>156</v>
      </c>
      <c r="L10" s="490">
        <v>223</v>
      </c>
      <c r="M10" s="490">
        <v>177</v>
      </c>
      <c r="N10" s="489">
        <f t="shared" ref="N10:N28" si="1">SUM(I10+J10+K10+L10+M10)</f>
        <v>905</v>
      </c>
      <c r="O10" s="491">
        <v>179</v>
      </c>
      <c r="P10" s="491">
        <v>205</v>
      </c>
      <c r="Q10" s="491">
        <v>179</v>
      </c>
      <c r="R10" s="491">
        <v>135</v>
      </c>
      <c r="S10" s="491">
        <v>199</v>
      </c>
      <c r="T10" s="489">
        <f t="shared" ref="T10:T28" si="2">SUM(O10+P10+Q10+R10+S10)</f>
        <v>897</v>
      </c>
      <c r="U10" s="490">
        <v>145</v>
      </c>
      <c r="V10" s="490">
        <v>170</v>
      </c>
      <c r="W10" s="490">
        <v>179</v>
      </c>
      <c r="X10" s="490">
        <v>212</v>
      </c>
      <c r="Y10" s="490">
        <v>177</v>
      </c>
      <c r="Z10" s="489">
        <f t="shared" ref="Z10:Z28" si="3">SUM(U10+V10+W10+X10+Y10)</f>
        <v>883</v>
      </c>
      <c r="AA10" s="587">
        <v>145</v>
      </c>
      <c r="AB10" s="587">
        <v>191</v>
      </c>
      <c r="AC10" s="587">
        <v>153</v>
      </c>
      <c r="AD10" s="587">
        <v>146</v>
      </c>
      <c r="AE10" s="587">
        <v>170</v>
      </c>
      <c r="AF10" s="489">
        <f t="shared" ref="AF10:AF28" si="4">SUM(AA10+AB10+AC10+AD10+AE10)</f>
        <v>805</v>
      </c>
      <c r="AG10" s="651">
        <v>213</v>
      </c>
      <c r="AH10" s="651">
        <v>186</v>
      </c>
      <c r="AI10" s="651">
        <v>202</v>
      </c>
      <c r="AJ10" s="651">
        <v>186</v>
      </c>
      <c r="AK10" s="651">
        <v>175</v>
      </c>
      <c r="AL10" s="489">
        <f t="shared" ref="AL10:AL28" si="5">SUM(AG10+AH10+AI10+AJ10+AK10)</f>
        <v>962</v>
      </c>
      <c r="AM10" s="828">
        <v>155</v>
      </c>
      <c r="AN10" s="828">
        <v>193</v>
      </c>
      <c r="AO10" s="828">
        <v>179</v>
      </c>
      <c r="AP10" s="828">
        <v>157</v>
      </c>
      <c r="AQ10" s="828">
        <v>149</v>
      </c>
      <c r="AR10" s="489">
        <f t="shared" ref="AR10:AR28" si="6">SUM(AM10+AN10+AO10+AP10+AQ10)</f>
        <v>833</v>
      </c>
      <c r="AS10" s="453">
        <f t="shared" ref="AS10:AS19" si="7">SUM(N10,H10,T10,Z10,AF10,AL10,AR10)</f>
        <v>6213</v>
      </c>
      <c r="AT10" s="454">
        <f t="shared" ref="AT10:AT19" si="8">COUNT(C10:G10,I10:M10,O10:S10,U10:Y10,AA10:AE10,AG10:AK10,AM10:AQ10)</f>
        <v>35</v>
      </c>
      <c r="AU10" s="589">
        <f t="shared" ref="AU10:AU19" si="9">IF(AT10=0,"",AS10/AT10)</f>
        <v>177.51428571428571</v>
      </c>
    </row>
    <row r="11" spans="1:49" s="30" customFormat="1" ht="15">
      <c r="A11" s="455" t="s">
        <v>17</v>
      </c>
      <c r="B11" s="407" t="s">
        <v>12</v>
      </c>
      <c r="C11" s="35"/>
      <c r="D11" s="35"/>
      <c r="E11" s="35"/>
      <c r="F11" s="35"/>
      <c r="G11" s="35"/>
      <c r="H11" s="492">
        <f t="shared" si="0"/>
        <v>0</v>
      </c>
      <c r="I11" s="493"/>
      <c r="J11" s="493"/>
      <c r="K11" s="493"/>
      <c r="L11" s="493"/>
      <c r="M11" s="493"/>
      <c r="N11" s="492">
        <f t="shared" si="1"/>
        <v>0</v>
      </c>
      <c r="O11" s="493"/>
      <c r="P11" s="493"/>
      <c r="Q11" s="493"/>
      <c r="R11" s="493"/>
      <c r="S11" s="493"/>
      <c r="T11" s="492">
        <f t="shared" si="2"/>
        <v>0</v>
      </c>
      <c r="U11" s="493"/>
      <c r="V11" s="500"/>
      <c r="W11" s="500"/>
      <c r="X11" s="500"/>
      <c r="Y11" s="500"/>
      <c r="Z11" s="492">
        <f t="shared" si="3"/>
        <v>0</v>
      </c>
      <c r="AA11" s="501"/>
      <c r="AB11" s="501"/>
      <c r="AC11" s="501"/>
      <c r="AD11" s="501"/>
      <c r="AE11" s="501"/>
      <c r="AF11" s="492">
        <f t="shared" si="4"/>
        <v>0</v>
      </c>
      <c r="AG11" s="497"/>
      <c r="AH11" s="497"/>
      <c r="AI11" s="497"/>
      <c r="AJ11" s="497"/>
      <c r="AK11" s="497"/>
      <c r="AL11" s="492">
        <f t="shared" si="5"/>
        <v>0</v>
      </c>
      <c r="AM11" s="497"/>
      <c r="AN11" s="497"/>
      <c r="AO11" s="497"/>
      <c r="AP11" s="497"/>
      <c r="AQ11" s="497"/>
      <c r="AR11" s="492">
        <f t="shared" si="6"/>
        <v>0</v>
      </c>
      <c r="AS11" s="28">
        <f t="shared" si="7"/>
        <v>0</v>
      </c>
      <c r="AT11" s="29">
        <f t="shared" si="8"/>
        <v>0</v>
      </c>
      <c r="AU11" s="588" t="str">
        <f t="shared" si="9"/>
        <v/>
      </c>
    </row>
    <row r="12" spans="1:49" s="30" customFormat="1" ht="15">
      <c r="A12" s="455" t="s">
        <v>17</v>
      </c>
      <c r="B12" s="407" t="s">
        <v>16</v>
      </c>
      <c r="C12" s="177">
        <v>143</v>
      </c>
      <c r="D12" s="177">
        <v>158</v>
      </c>
      <c r="E12" s="177">
        <v>165</v>
      </c>
      <c r="F12" s="177">
        <v>135</v>
      </c>
      <c r="G12" s="177">
        <v>126</v>
      </c>
      <c r="H12" s="492">
        <f t="shared" si="0"/>
        <v>727</v>
      </c>
      <c r="I12" s="493">
        <v>158</v>
      </c>
      <c r="J12" s="493">
        <v>152</v>
      </c>
      <c r="K12" s="493">
        <v>128</v>
      </c>
      <c r="L12" s="493">
        <v>140</v>
      </c>
      <c r="M12" s="493">
        <v>141</v>
      </c>
      <c r="N12" s="492">
        <f t="shared" si="1"/>
        <v>719</v>
      </c>
      <c r="O12" s="494">
        <v>156</v>
      </c>
      <c r="P12" s="494">
        <v>104</v>
      </c>
      <c r="Q12" s="494">
        <v>160</v>
      </c>
      <c r="R12" s="494">
        <v>190</v>
      </c>
      <c r="S12" s="494">
        <v>160</v>
      </c>
      <c r="T12" s="492">
        <f t="shared" si="2"/>
        <v>770</v>
      </c>
      <c r="U12" s="493">
        <v>114</v>
      </c>
      <c r="V12" s="493">
        <v>144</v>
      </c>
      <c r="W12" s="493">
        <v>168</v>
      </c>
      <c r="X12" s="493">
        <v>134</v>
      </c>
      <c r="Y12" s="493">
        <v>106</v>
      </c>
      <c r="Z12" s="492">
        <f t="shared" si="3"/>
        <v>666</v>
      </c>
      <c r="AA12" s="570">
        <v>161</v>
      </c>
      <c r="AB12" s="570">
        <v>153</v>
      </c>
      <c r="AC12" s="570">
        <v>148</v>
      </c>
      <c r="AD12" s="570">
        <v>145</v>
      </c>
      <c r="AE12" s="570">
        <v>175</v>
      </c>
      <c r="AF12" s="492">
        <f t="shared" si="4"/>
        <v>782</v>
      </c>
      <c r="AG12" s="652">
        <v>134</v>
      </c>
      <c r="AH12" s="652">
        <v>142</v>
      </c>
      <c r="AI12" s="652">
        <v>134</v>
      </c>
      <c r="AJ12" s="652">
        <v>164</v>
      </c>
      <c r="AK12" s="652">
        <v>201</v>
      </c>
      <c r="AL12" s="492">
        <f t="shared" si="5"/>
        <v>775</v>
      </c>
      <c r="AM12" s="827">
        <v>162</v>
      </c>
      <c r="AN12" s="827">
        <v>149</v>
      </c>
      <c r="AO12" s="827">
        <v>156</v>
      </c>
      <c r="AP12" s="827">
        <v>169</v>
      </c>
      <c r="AQ12" s="827">
        <v>180</v>
      </c>
      <c r="AR12" s="492">
        <f t="shared" si="6"/>
        <v>816</v>
      </c>
      <c r="AS12" s="28">
        <f t="shared" si="7"/>
        <v>5255</v>
      </c>
      <c r="AT12" s="29">
        <f t="shared" si="8"/>
        <v>35</v>
      </c>
      <c r="AU12" s="588">
        <f t="shared" si="9"/>
        <v>150.14285714285714</v>
      </c>
    </row>
    <row r="13" spans="1:49" s="30" customFormat="1" ht="15">
      <c r="A13" s="455" t="s">
        <v>17</v>
      </c>
      <c r="B13" s="407" t="s">
        <v>21</v>
      </c>
      <c r="C13" s="177">
        <v>124</v>
      </c>
      <c r="D13" s="177">
        <v>176</v>
      </c>
      <c r="E13" s="177">
        <v>143</v>
      </c>
      <c r="F13" s="177">
        <v>147</v>
      </c>
      <c r="G13" s="177">
        <v>112</v>
      </c>
      <c r="H13" s="492">
        <f t="shared" si="0"/>
        <v>702</v>
      </c>
      <c r="I13" s="493">
        <v>172</v>
      </c>
      <c r="J13" s="493">
        <v>139</v>
      </c>
      <c r="K13" s="493">
        <v>146</v>
      </c>
      <c r="L13" s="493">
        <v>167</v>
      </c>
      <c r="M13" s="493">
        <v>144</v>
      </c>
      <c r="N13" s="492">
        <f t="shared" si="1"/>
        <v>768</v>
      </c>
      <c r="O13" s="494">
        <v>121</v>
      </c>
      <c r="P13" s="494">
        <v>141</v>
      </c>
      <c r="Q13" s="494">
        <v>112</v>
      </c>
      <c r="R13" s="494">
        <v>150</v>
      </c>
      <c r="S13" s="494">
        <v>107</v>
      </c>
      <c r="T13" s="492">
        <f t="shared" si="2"/>
        <v>631</v>
      </c>
      <c r="U13" s="493">
        <v>153</v>
      </c>
      <c r="V13" s="493">
        <v>151</v>
      </c>
      <c r="W13" s="493">
        <v>105</v>
      </c>
      <c r="X13" s="493">
        <v>179</v>
      </c>
      <c r="Y13" s="493">
        <v>166</v>
      </c>
      <c r="Z13" s="492">
        <f t="shared" si="3"/>
        <v>754</v>
      </c>
      <c r="AA13" s="570">
        <v>176</v>
      </c>
      <c r="AB13" s="570">
        <v>136</v>
      </c>
      <c r="AC13" s="570">
        <v>115</v>
      </c>
      <c r="AD13" s="570">
        <v>169</v>
      </c>
      <c r="AE13" s="570">
        <v>105</v>
      </c>
      <c r="AF13" s="492">
        <f t="shared" si="4"/>
        <v>701</v>
      </c>
      <c r="AG13" s="654">
        <v>120</v>
      </c>
      <c r="AH13" s="654">
        <v>128</v>
      </c>
      <c r="AI13" s="654">
        <v>130</v>
      </c>
      <c r="AJ13" s="654">
        <v>162</v>
      </c>
      <c r="AK13" s="654">
        <v>102</v>
      </c>
      <c r="AL13" s="492">
        <f t="shared" si="5"/>
        <v>642</v>
      </c>
      <c r="AM13" s="827">
        <v>153</v>
      </c>
      <c r="AN13" s="827">
        <v>150</v>
      </c>
      <c r="AO13" s="827">
        <v>115</v>
      </c>
      <c r="AP13" s="827">
        <v>173</v>
      </c>
      <c r="AQ13" s="827">
        <v>126</v>
      </c>
      <c r="AR13" s="492">
        <f t="shared" si="6"/>
        <v>717</v>
      </c>
      <c r="AS13" s="28">
        <f t="shared" si="7"/>
        <v>4915</v>
      </c>
      <c r="AT13" s="29">
        <f t="shared" si="8"/>
        <v>35</v>
      </c>
      <c r="AU13" s="588">
        <f t="shared" si="9"/>
        <v>140.42857142857142</v>
      </c>
    </row>
    <row r="14" spans="1:49" s="30" customFormat="1" ht="15">
      <c r="A14" s="455" t="s">
        <v>17</v>
      </c>
      <c r="B14" s="407" t="s">
        <v>33</v>
      </c>
      <c r="C14" s="35"/>
      <c r="D14" s="35"/>
      <c r="E14" s="35"/>
      <c r="F14" s="35"/>
      <c r="G14" s="35"/>
      <c r="H14" s="492">
        <f t="shared" si="0"/>
        <v>0</v>
      </c>
      <c r="I14" s="493"/>
      <c r="J14" s="493"/>
      <c r="K14" s="493"/>
      <c r="L14" s="493"/>
      <c r="M14" s="493"/>
      <c r="N14" s="492">
        <f t="shared" si="1"/>
        <v>0</v>
      </c>
      <c r="O14" s="493"/>
      <c r="P14" s="493"/>
      <c r="Q14" s="493"/>
      <c r="R14" s="493"/>
      <c r="S14" s="493"/>
      <c r="T14" s="492">
        <f t="shared" si="2"/>
        <v>0</v>
      </c>
      <c r="U14" s="493"/>
      <c r="V14" s="493"/>
      <c r="W14" s="493"/>
      <c r="X14" s="493"/>
      <c r="Y14" s="493"/>
      <c r="Z14" s="492">
        <f t="shared" si="3"/>
        <v>0</v>
      </c>
      <c r="AA14" s="499"/>
      <c r="AB14" s="499"/>
      <c r="AC14" s="499"/>
      <c r="AD14" s="499"/>
      <c r="AE14" s="499"/>
      <c r="AF14" s="492">
        <f t="shared" si="4"/>
        <v>0</v>
      </c>
      <c r="AG14" s="497"/>
      <c r="AH14" s="497"/>
      <c r="AI14" s="497"/>
      <c r="AJ14" s="497"/>
      <c r="AK14" s="497"/>
      <c r="AL14" s="492">
        <f t="shared" si="5"/>
        <v>0</v>
      </c>
      <c r="AM14" s="497"/>
      <c r="AN14" s="497"/>
      <c r="AO14" s="497"/>
      <c r="AP14" s="497"/>
      <c r="AQ14" s="497"/>
      <c r="AR14" s="492">
        <f t="shared" si="6"/>
        <v>0</v>
      </c>
      <c r="AS14" s="28">
        <f t="shared" si="7"/>
        <v>0</v>
      </c>
      <c r="AT14" s="29">
        <f t="shared" si="8"/>
        <v>0</v>
      </c>
      <c r="AU14" s="588" t="str">
        <f t="shared" si="9"/>
        <v/>
      </c>
    </row>
    <row r="15" spans="1:49" s="30" customFormat="1" ht="15">
      <c r="A15" s="455" t="s">
        <v>17</v>
      </c>
      <c r="B15" s="407" t="s">
        <v>32</v>
      </c>
      <c r="C15" s="177">
        <v>115</v>
      </c>
      <c r="D15" s="177">
        <v>155</v>
      </c>
      <c r="E15" s="177">
        <v>107</v>
      </c>
      <c r="F15" s="177">
        <v>145</v>
      </c>
      <c r="G15" s="177">
        <v>115</v>
      </c>
      <c r="H15" s="492">
        <f t="shared" si="0"/>
        <v>637</v>
      </c>
      <c r="I15" s="493">
        <v>135</v>
      </c>
      <c r="J15" s="493">
        <v>145</v>
      </c>
      <c r="K15" s="493">
        <v>127</v>
      </c>
      <c r="L15" s="493">
        <v>111</v>
      </c>
      <c r="M15" s="493">
        <v>114</v>
      </c>
      <c r="N15" s="492">
        <f t="shared" si="1"/>
        <v>632</v>
      </c>
      <c r="O15" s="498"/>
      <c r="P15" s="498"/>
      <c r="Q15" s="498"/>
      <c r="R15" s="498"/>
      <c r="S15" s="498"/>
      <c r="T15" s="492">
        <f t="shared" si="2"/>
        <v>0</v>
      </c>
      <c r="U15" s="493"/>
      <c r="V15" s="493"/>
      <c r="W15" s="493"/>
      <c r="X15" s="493"/>
      <c r="Y15" s="493"/>
      <c r="Z15" s="492">
        <f t="shared" si="3"/>
        <v>0</v>
      </c>
      <c r="AA15" s="570">
        <v>123</v>
      </c>
      <c r="AB15" s="570">
        <v>223</v>
      </c>
      <c r="AC15" s="570">
        <v>152</v>
      </c>
      <c r="AD15" s="570">
        <v>158</v>
      </c>
      <c r="AE15" s="570">
        <v>178</v>
      </c>
      <c r="AF15" s="492">
        <f t="shared" si="4"/>
        <v>834</v>
      </c>
      <c r="AG15" s="652">
        <v>111</v>
      </c>
      <c r="AH15" s="652">
        <v>105</v>
      </c>
      <c r="AI15" s="652">
        <v>133</v>
      </c>
      <c r="AJ15" s="652">
        <v>139</v>
      </c>
      <c r="AK15" s="652">
        <v>145</v>
      </c>
      <c r="AL15" s="492">
        <f t="shared" si="5"/>
        <v>633</v>
      </c>
      <c r="AM15" s="827">
        <v>104</v>
      </c>
      <c r="AN15" s="827">
        <v>125</v>
      </c>
      <c r="AO15" s="827">
        <v>160</v>
      </c>
      <c r="AP15" s="827">
        <v>130</v>
      </c>
      <c r="AQ15" s="827">
        <v>149</v>
      </c>
      <c r="AR15" s="492">
        <f t="shared" si="6"/>
        <v>668</v>
      </c>
      <c r="AS15" s="28">
        <f t="shared" si="7"/>
        <v>3404</v>
      </c>
      <c r="AT15" s="29">
        <f t="shared" si="8"/>
        <v>25</v>
      </c>
      <c r="AU15" s="588">
        <f t="shared" si="9"/>
        <v>136.16</v>
      </c>
    </row>
    <row r="16" spans="1:49" s="30" customFormat="1" ht="15">
      <c r="A16" s="455" t="s">
        <v>17</v>
      </c>
      <c r="B16" s="407" t="s">
        <v>69</v>
      </c>
      <c r="C16" s="51"/>
      <c r="D16" s="51"/>
      <c r="E16" s="51"/>
      <c r="F16" s="51"/>
      <c r="G16" s="51"/>
      <c r="H16" s="492">
        <f t="shared" si="0"/>
        <v>0</v>
      </c>
      <c r="I16" s="496"/>
      <c r="J16" s="496"/>
      <c r="K16" s="496"/>
      <c r="L16" s="496"/>
      <c r="M16" s="496"/>
      <c r="N16" s="492">
        <f t="shared" si="1"/>
        <v>0</v>
      </c>
      <c r="O16" s="494">
        <v>85</v>
      </c>
      <c r="P16" s="494">
        <v>107</v>
      </c>
      <c r="Q16" s="494">
        <v>107</v>
      </c>
      <c r="R16" s="494">
        <v>113</v>
      </c>
      <c r="S16" s="494">
        <v>68</v>
      </c>
      <c r="T16" s="492">
        <f t="shared" si="2"/>
        <v>480</v>
      </c>
      <c r="U16" s="493">
        <v>82</v>
      </c>
      <c r="V16" s="493">
        <v>117</v>
      </c>
      <c r="W16" s="493">
        <v>66</v>
      </c>
      <c r="X16" s="493">
        <v>129</v>
      </c>
      <c r="Y16" s="493">
        <v>96</v>
      </c>
      <c r="Z16" s="492">
        <f t="shared" si="3"/>
        <v>490</v>
      </c>
      <c r="AA16" s="493"/>
      <c r="AB16" s="493"/>
      <c r="AC16" s="493"/>
      <c r="AD16" s="493"/>
      <c r="AE16" s="493"/>
      <c r="AF16" s="492">
        <f t="shared" si="4"/>
        <v>0</v>
      </c>
      <c r="AG16" s="496"/>
      <c r="AH16" s="496"/>
      <c r="AI16" s="496"/>
      <c r="AJ16" s="496"/>
      <c r="AK16" s="496"/>
      <c r="AL16" s="492">
        <f t="shared" si="5"/>
        <v>0</v>
      </c>
      <c r="AM16" s="497"/>
      <c r="AN16" s="497"/>
      <c r="AO16" s="497"/>
      <c r="AP16" s="497"/>
      <c r="AQ16" s="497"/>
      <c r="AR16" s="492">
        <f t="shared" si="6"/>
        <v>0</v>
      </c>
      <c r="AS16" s="28">
        <f t="shared" si="7"/>
        <v>970</v>
      </c>
      <c r="AT16" s="29">
        <f t="shared" si="8"/>
        <v>10</v>
      </c>
      <c r="AU16" s="588">
        <f t="shared" si="9"/>
        <v>97</v>
      </c>
    </row>
    <row r="17" spans="1:47" s="30" customFormat="1" ht="15">
      <c r="A17" s="455" t="s">
        <v>17</v>
      </c>
      <c r="B17" s="407" t="s">
        <v>15</v>
      </c>
      <c r="C17" s="177">
        <v>126</v>
      </c>
      <c r="D17" s="177">
        <v>104</v>
      </c>
      <c r="E17" s="177">
        <v>135</v>
      </c>
      <c r="F17" s="177">
        <v>123</v>
      </c>
      <c r="G17" s="177">
        <v>89</v>
      </c>
      <c r="H17" s="492">
        <f t="shared" si="0"/>
        <v>577</v>
      </c>
      <c r="I17" s="496"/>
      <c r="J17" s="496"/>
      <c r="K17" s="496"/>
      <c r="L17" s="496"/>
      <c r="M17" s="496"/>
      <c r="N17" s="492">
        <f t="shared" si="1"/>
        <v>0</v>
      </c>
      <c r="O17" s="494">
        <v>109</v>
      </c>
      <c r="P17" s="494">
        <v>120</v>
      </c>
      <c r="Q17" s="494">
        <v>106</v>
      </c>
      <c r="R17" s="494">
        <v>112</v>
      </c>
      <c r="S17" s="494">
        <v>117</v>
      </c>
      <c r="T17" s="492">
        <f t="shared" si="2"/>
        <v>564</v>
      </c>
      <c r="U17" s="493">
        <v>117</v>
      </c>
      <c r="V17" s="493">
        <v>125</v>
      </c>
      <c r="W17" s="493">
        <v>132</v>
      </c>
      <c r="X17" s="493">
        <v>143</v>
      </c>
      <c r="Y17" s="493">
        <v>114</v>
      </c>
      <c r="Z17" s="492">
        <f t="shared" si="3"/>
        <v>631</v>
      </c>
      <c r="AA17" s="570">
        <v>139</v>
      </c>
      <c r="AB17" s="570">
        <v>112</v>
      </c>
      <c r="AC17" s="570">
        <v>78</v>
      </c>
      <c r="AD17" s="570">
        <v>113</v>
      </c>
      <c r="AE17" s="570">
        <v>119</v>
      </c>
      <c r="AF17" s="492">
        <f t="shared" si="4"/>
        <v>561</v>
      </c>
      <c r="AG17" s="654">
        <v>89</v>
      </c>
      <c r="AH17" s="654">
        <v>128</v>
      </c>
      <c r="AI17" s="654">
        <v>121</v>
      </c>
      <c r="AJ17" s="654">
        <v>133</v>
      </c>
      <c r="AK17" s="654">
        <v>114</v>
      </c>
      <c r="AL17" s="492">
        <f t="shared" si="5"/>
        <v>585</v>
      </c>
      <c r="AM17" s="497"/>
      <c r="AN17" s="497"/>
      <c r="AO17" s="497"/>
      <c r="AP17" s="497"/>
      <c r="AQ17" s="497"/>
      <c r="AR17" s="492">
        <f t="shared" si="6"/>
        <v>0</v>
      </c>
      <c r="AS17" s="28">
        <f t="shared" si="7"/>
        <v>2918</v>
      </c>
      <c r="AT17" s="29">
        <f t="shared" si="8"/>
        <v>25</v>
      </c>
      <c r="AU17" s="588">
        <f t="shared" si="9"/>
        <v>116.72</v>
      </c>
    </row>
    <row r="18" spans="1:47" s="30" customFormat="1" ht="15">
      <c r="A18" s="455" t="s">
        <v>17</v>
      </c>
      <c r="B18" s="408" t="s">
        <v>41</v>
      </c>
      <c r="C18" s="51"/>
      <c r="D18" s="51"/>
      <c r="E18" s="51"/>
      <c r="F18" s="51"/>
      <c r="G18" s="51"/>
      <c r="H18" s="492">
        <f t="shared" si="0"/>
        <v>0</v>
      </c>
      <c r="I18" s="501"/>
      <c r="J18" s="501"/>
      <c r="K18" s="501"/>
      <c r="L18" s="501"/>
      <c r="M18" s="501"/>
      <c r="N18" s="492">
        <f t="shared" si="1"/>
        <v>0</v>
      </c>
      <c r="O18" s="501"/>
      <c r="P18" s="501"/>
      <c r="Q18" s="501"/>
      <c r="R18" s="501"/>
      <c r="S18" s="501"/>
      <c r="T18" s="492">
        <f t="shared" si="2"/>
        <v>0</v>
      </c>
      <c r="U18" s="493"/>
      <c r="V18" s="493"/>
      <c r="W18" s="493"/>
      <c r="X18" s="493"/>
      <c r="Y18" s="493"/>
      <c r="Z18" s="492">
        <f t="shared" si="3"/>
        <v>0</v>
      </c>
      <c r="AA18" s="493"/>
      <c r="AB18" s="493"/>
      <c r="AC18" s="493"/>
      <c r="AD18" s="493"/>
      <c r="AE18" s="493"/>
      <c r="AF18" s="492">
        <f t="shared" si="4"/>
        <v>0</v>
      </c>
      <c r="AG18" s="497"/>
      <c r="AH18" s="497"/>
      <c r="AI18" s="497"/>
      <c r="AJ18" s="497"/>
      <c r="AK18" s="497"/>
      <c r="AL18" s="492">
        <f t="shared" si="5"/>
        <v>0</v>
      </c>
      <c r="AM18" s="497"/>
      <c r="AN18" s="497"/>
      <c r="AO18" s="497"/>
      <c r="AP18" s="497"/>
      <c r="AQ18" s="497"/>
      <c r="AR18" s="492">
        <f t="shared" si="6"/>
        <v>0</v>
      </c>
      <c r="AS18" s="28">
        <f t="shared" si="7"/>
        <v>0</v>
      </c>
      <c r="AT18" s="29">
        <f t="shared" si="8"/>
        <v>0</v>
      </c>
      <c r="AU18" s="588" t="str">
        <f t="shared" si="9"/>
        <v/>
      </c>
    </row>
    <row r="19" spans="1:47" s="30" customFormat="1" ht="15">
      <c r="A19" s="455" t="s">
        <v>17</v>
      </c>
      <c r="B19" s="408" t="s">
        <v>59</v>
      </c>
      <c r="C19" s="177">
        <v>159</v>
      </c>
      <c r="D19" s="177">
        <v>160</v>
      </c>
      <c r="E19" s="177">
        <v>165</v>
      </c>
      <c r="F19" s="177">
        <v>176</v>
      </c>
      <c r="G19" s="177">
        <v>187</v>
      </c>
      <c r="H19" s="492">
        <f t="shared" si="0"/>
        <v>847</v>
      </c>
      <c r="I19" s="493">
        <v>223</v>
      </c>
      <c r="J19" s="493">
        <v>197</v>
      </c>
      <c r="K19" s="493">
        <v>227</v>
      </c>
      <c r="L19" s="493">
        <v>147</v>
      </c>
      <c r="M19" s="493">
        <v>151</v>
      </c>
      <c r="N19" s="492">
        <f t="shared" si="1"/>
        <v>945</v>
      </c>
      <c r="O19" s="494">
        <v>174</v>
      </c>
      <c r="P19" s="494">
        <v>167</v>
      </c>
      <c r="Q19" s="494">
        <v>161</v>
      </c>
      <c r="R19" s="494">
        <v>151</v>
      </c>
      <c r="S19" s="494">
        <v>178</v>
      </c>
      <c r="T19" s="492">
        <f t="shared" si="2"/>
        <v>831</v>
      </c>
      <c r="U19" s="493"/>
      <c r="V19" s="493"/>
      <c r="W19" s="493"/>
      <c r="X19" s="493"/>
      <c r="Y19" s="493"/>
      <c r="Z19" s="492">
        <f t="shared" si="3"/>
        <v>0</v>
      </c>
      <c r="AA19" s="580">
        <v>121</v>
      </c>
      <c r="AB19" s="580">
        <v>154</v>
      </c>
      <c r="AC19" s="580">
        <v>159</v>
      </c>
      <c r="AD19" s="580">
        <v>181</v>
      </c>
      <c r="AE19" s="580">
        <v>179</v>
      </c>
      <c r="AF19" s="492">
        <f t="shared" si="4"/>
        <v>794</v>
      </c>
      <c r="AG19" s="652">
        <v>191</v>
      </c>
      <c r="AH19" s="652">
        <v>145</v>
      </c>
      <c r="AI19" s="652">
        <v>197</v>
      </c>
      <c r="AJ19" s="652">
        <v>156</v>
      </c>
      <c r="AK19" s="652">
        <v>212</v>
      </c>
      <c r="AL19" s="492">
        <f t="shared" si="5"/>
        <v>901</v>
      </c>
      <c r="AM19" s="827">
        <v>185</v>
      </c>
      <c r="AN19" s="827">
        <v>148</v>
      </c>
      <c r="AO19" s="827">
        <v>223</v>
      </c>
      <c r="AP19" s="827">
        <v>128</v>
      </c>
      <c r="AQ19" s="827">
        <v>179</v>
      </c>
      <c r="AR19" s="492">
        <f t="shared" si="6"/>
        <v>863</v>
      </c>
      <c r="AS19" s="28">
        <f t="shared" si="7"/>
        <v>5181</v>
      </c>
      <c r="AT19" s="29">
        <f t="shared" si="8"/>
        <v>30</v>
      </c>
      <c r="AU19" s="588">
        <f t="shared" si="9"/>
        <v>172.7</v>
      </c>
    </row>
    <row r="20" spans="1:47" s="30" customFormat="1" ht="15">
      <c r="A20" s="455" t="s">
        <v>17</v>
      </c>
      <c r="B20" s="408" t="s">
        <v>73</v>
      </c>
      <c r="C20" s="35"/>
      <c r="D20" s="35"/>
      <c r="E20" s="35"/>
      <c r="F20" s="35"/>
      <c r="G20" s="35"/>
      <c r="H20" s="492">
        <f t="shared" si="0"/>
        <v>0</v>
      </c>
      <c r="I20" s="493">
        <v>115</v>
      </c>
      <c r="J20" s="493">
        <v>96</v>
      </c>
      <c r="K20" s="493">
        <v>134</v>
      </c>
      <c r="L20" s="493">
        <v>117</v>
      </c>
      <c r="M20" s="493">
        <v>136</v>
      </c>
      <c r="N20" s="492">
        <f t="shared" si="1"/>
        <v>598</v>
      </c>
      <c r="O20" s="494">
        <v>171</v>
      </c>
      <c r="P20" s="494">
        <v>123</v>
      </c>
      <c r="Q20" s="494">
        <v>122</v>
      </c>
      <c r="R20" s="494">
        <v>137</v>
      </c>
      <c r="S20" s="494">
        <v>116</v>
      </c>
      <c r="T20" s="492">
        <f t="shared" si="2"/>
        <v>669</v>
      </c>
      <c r="U20" s="493"/>
      <c r="V20" s="493"/>
      <c r="W20" s="493"/>
      <c r="X20" s="493"/>
      <c r="Y20" s="493"/>
      <c r="Z20" s="492">
        <f t="shared" si="3"/>
        <v>0</v>
      </c>
      <c r="AA20" s="570">
        <v>145</v>
      </c>
      <c r="AB20" s="570">
        <v>119</v>
      </c>
      <c r="AC20" s="570">
        <v>166</v>
      </c>
      <c r="AD20" s="570">
        <v>141</v>
      </c>
      <c r="AE20" s="570">
        <v>133</v>
      </c>
      <c r="AF20" s="492">
        <f t="shared" si="4"/>
        <v>704</v>
      </c>
      <c r="AG20" s="496"/>
      <c r="AH20" s="496"/>
      <c r="AI20" s="496"/>
      <c r="AJ20" s="496"/>
      <c r="AK20" s="496"/>
      <c r="AL20" s="492">
        <f t="shared" si="5"/>
        <v>0</v>
      </c>
      <c r="AM20" s="827">
        <v>102</v>
      </c>
      <c r="AN20" s="827">
        <v>116</v>
      </c>
      <c r="AO20" s="827">
        <v>115</v>
      </c>
      <c r="AP20" s="827">
        <v>132</v>
      </c>
      <c r="AQ20" s="827">
        <v>86</v>
      </c>
      <c r="AR20" s="492">
        <f t="shared" si="6"/>
        <v>551</v>
      </c>
      <c r="AS20" s="28">
        <f t="shared" ref="AS20:AS25" si="10">SUM(N20,H20,T20,Z20,AF20,AL20,AR20)</f>
        <v>2522</v>
      </c>
      <c r="AT20" s="29">
        <f t="shared" ref="AT20:AT25" si="11">COUNT(C20:G20,I20:M20,O20:S20,U20:Y20,AA20:AE20,AG20:AK20,AM20:AQ20)</f>
        <v>20</v>
      </c>
      <c r="AU20" s="588">
        <f t="shared" ref="AU20:AU25" si="12">IF(AT20=0,"",AS20/AT20)</f>
        <v>126.1</v>
      </c>
    </row>
    <row r="21" spans="1:47" s="30" customFormat="1" ht="15">
      <c r="A21" s="455" t="s">
        <v>17</v>
      </c>
      <c r="B21" s="408" t="s">
        <v>114</v>
      </c>
      <c r="C21" s="41"/>
      <c r="D21" s="41"/>
      <c r="E21" s="41"/>
      <c r="F21" s="41"/>
      <c r="G21" s="61"/>
      <c r="H21" s="492">
        <f t="shared" si="0"/>
        <v>0</v>
      </c>
      <c r="I21" s="493"/>
      <c r="J21" s="493"/>
      <c r="K21" s="493"/>
      <c r="L21" s="493"/>
      <c r="M21" s="493"/>
      <c r="N21" s="492">
        <f t="shared" si="1"/>
        <v>0</v>
      </c>
      <c r="O21" s="513"/>
      <c r="P21" s="513"/>
      <c r="Q21" s="513"/>
      <c r="R21" s="513"/>
      <c r="S21" s="513"/>
      <c r="T21" s="492">
        <f t="shared" si="2"/>
        <v>0</v>
      </c>
      <c r="U21" s="493"/>
      <c r="V21" s="501"/>
      <c r="W21" s="501"/>
      <c r="X21" s="501"/>
      <c r="Y21" s="501"/>
      <c r="Z21" s="492">
        <f t="shared" si="3"/>
        <v>0</v>
      </c>
      <c r="AA21" s="501"/>
      <c r="AB21" s="501"/>
      <c r="AC21" s="501"/>
      <c r="AD21" s="501"/>
      <c r="AE21" s="501"/>
      <c r="AF21" s="492">
        <f t="shared" si="4"/>
        <v>0</v>
      </c>
      <c r="AG21" s="497"/>
      <c r="AH21" s="497"/>
      <c r="AI21" s="497"/>
      <c r="AJ21" s="497"/>
      <c r="AK21" s="497"/>
      <c r="AL21" s="492">
        <f t="shared" si="5"/>
        <v>0</v>
      </c>
      <c r="AM21" s="497"/>
      <c r="AN21" s="497"/>
      <c r="AO21" s="497"/>
      <c r="AP21" s="497"/>
      <c r="AQ21" s="497"/>
      <c r="AR21" s="492">
        <f t="shared" si="6"/>
        <v>0</v>
      </c>
      <c r="AS21" s="28">
        <f t="shared" si="10"/>
        <v>0</v>
      </c>
      <c r="AT21" s="29">
        <f t="shared" si="11"/>
        <v>0</v>
      </c>
      <c r="AU21" s="588" t="str">
        <f t="shared" si="12"/>
        <v/>
      </c>
    </row>
    <row r="22" spans="1:47" s="30" customFormat="1" ht="15">
      <c r="A22" s="455" t="s">
        <v>17</v>
      </c>
      <c r="B22" s="408" t="s">
        <v>74</v>
      </c>
      <c r="C22" s="41"/>
      <c r="D22" s="41"/>
      <c r="E22" s="41"/>
      <c r="F22" s="41"/>
      <c r="G22" s="61"/>
      <c r="H22" s="492">
        <f t="shared" si="0"/>
        <v>0</v>
      </c>
      <c r="I22" s="493"/>
      <c r="J22" s="493"/>
      <c r="K22" s="493"/>
      <c r="L22" s="493"/>
      <c r="M22" s="493"/>
      <c r="N22" s="492">
        <f t="shared" si="1"/>
        <v>0</v>
      </c>
      <c r="O22" s="514"/>
      <c r="P22" s="514"/>
      <c r="Q22" s="514"/>
      <c r="R22" s="514"/>
      <c r="S22" s="514"/>
      <c r="T22" s="492">
        <f t="shared" si="2"/>
        <v>0</v>
      </c>
      <c r="U22" s="501"/>
      <c r="V22" s="501"/>
      <c r="W22" s="501"/>
      <c r="X22" s="501"/>
      <c r="Y22" s="501"/>
      <c r="Z22" s="492">
        <f t="shared" si="3"/>
        <v>0</v>
      </c>
      <c r="AA22" s="501"/>
      <c r="AB22" s="501"/>
      <c r="AC22" s="501"/>
      <c r="AD22" s="501"/>
      <c r="AE22" s="501"/>
      <c r="AF22" s="492">
        <f t="shared" si="4"/>
        <v>0</v>
      </c>
      <c r="AG22" s="497"/>
      <c r="AH22" s="497"/>
      <c r="AI22" s="497"/>
      <c r="AJ22" s="497"/>
      <c r="AK22" s="497"/>
      <c r="AL22" s="492">
        <f t="shared" si="5"/>
        <v>0</v>
      </c>
      <c r="AM22" s="497"/>
      <c r="AN22" s="497"/>
      <c r="AO22" s="497"/>
      <c r="AP22" s="497"/>
      <c r="AQ22" s="497"/>
      <c r="AR22" s="492">
        <f t="shared" si="6"/>
        <v>0</v>
      </c>
      <c r="AS22" s="28">
        <f t="shared" si="10"/>
        <v>0</v>
      </c>
      <c r="AT22" s="29">
        <f t="shared" si="11"/>
        <v>0</v>
      </c>
      <c r="AU22" s="588" t="str">
        <f t="shared" si="12"/>
        <v/>
      </c>
    </row>
    <row r="23" spans="1:47" s="30" customFormat="1" ht="15">
      <c r="A23" s="455" t="s">
        <v>17</v>
      </c>
      <c r="B23" s="408" t="s">
        <v>101</v>
      </c>
      <c r="C23" s="177">
        <v>105</v>
      </c>
      <c r="D23" s="177">
        <v>85</v>
      </c>
      <c r="E23" s="177">
        <v>127</v>
      </c>
      <c r="F23" s="177">
        <v>79</v>
      </c>
      <c r="G23" s="177">
        <v>100</v>
      </c>
      <c r="H23" s="492">
        <f t="shared" si="0"/>
        <v>496</v>
      </c>
      <c r="I23" s="493">
        <v>99</v>
      </c>
      <c r="J23" s="493">
        <v>89</v>
      </c>
      <c r="K23" s="493">
        <v>98</v>
      </c>
      <c r="L23" s="493">
        <v>99</v>
      </c>
      <c r="M23" s="493">
        <v>113</v>
      </c>
      <c r="N23" s="492">
        <f t="shared" si="1"/>
        <v>498</v>
      </c>
      <c r="O23" s="514"/>
      <c r="P23" s="514"/>
      <c r="Q23" s="514"/>
      <c r="R23" s="514"/>
      <c r="S23" s="514"/>
      <c r="T23" s="492">
        <f t="shared" si="2"/>
        <v>0</v>
      </c>
      <c r="U23" s="493">
        <v>102</v>
      </c>
      <c r="V23" s="493">
        <v>69</v>
      </c>
      <c r="W23" s="493">
        <v>105</v>
      </c>
      <c r="X23" s="493">
        <v>126</v>
      </c>
      <c r="Y23" s="493">
        <v>131</v>
      </c>
      <c r="Z23" s="492">
        <f t="shared" si="3"/>
        <v>533</v>
      </c>
      <c r="AA23" s="501"/>
      <c r="AB23" s="501"/>
      <c r="AC23" s="501"/>
      <c r="AD23" s="501"/>
      <c r="AE23" s="501"/>
      <c r="AF23" s="492">
        <f t="shared" si="4"/>
        <v>0</v>
      </c>
      <c r="AG23" s="497"/>
      <c r="AH23" s="497"/>
      <c r="AI23" s="497"/>
      <c r="AJ23" s="497"/>
      <c r="AK23" s="497"/>
      <c r="AL23" s="492">
        <f t="shared" si="5"/>
        <v>0</v>
      </c>
      <c r="AM23" s="497"/>
      <c r="AN23" s="497"/>
      <c r="AO23" s="497"/>
      <c r="AP23" s="497"/>
      <c r="AQ23" s="497"/>
      <c r="AR23" s="492">
        <f t="shared" si="6"/>
        <v>0</v>
      </c>
      <c r="AS23" s="28">
        <f t="shared" si="10"/>
        <v>1527</v>
      </c>
      <c r="AT23" s="29">
        <f t="shared" si="11"/>
        <v>15</v>
      </c>
      <c r="AU23" s="588">
        <f t="shared" si="12"/>
        <v>101.8</v>
      </c>
    </row>
    <row r="24" spans="1:47" s="30" customFormat="1" ht="15">
      <c r="A24" s="455" t="s">
        <v>17</v>
      </c>
      <c r="B24" s="408" t="s">
        <v>220</v>
      </c>
      <c r="C24" s="41"/>
      <c r="D24" s="41"/>
      <c r="E24" s="41"/>
      <c r="F24" s="41"/>
      <c r="G24" s="61"/>
      <c r="H24" s="492">
        <f t="shared" si="0"/>
        <v>0</v>
      </c>
      <c r="I24" s="493">
        <v>140</v>
      </c>
      <c r="J24" s="493">
        <v>144</v>
      </c>
      <c r="K24" s="493">
        <v>144</v>
      </c>
      <c r="L24" s="493">
        <v>129</v>
      </c>
      <c r="M24" s="493">
        <v>132</v>
      </c>
      <c r="N24" s="492">
        <f t="shared" si="1"/>
        <v>689</v>
      </c>
      <c r="O24" s="494">
        <v>170</v>
      </c>
      <c r="P24" s="494">
        <v>131</v>
      </c>
      <c r="Q24" s="494">
        <v>158</v>
      </c>
      <c r="R24" s="494">
        <v>150</v>
      </c>
      <c r="S24" s="494">
        <v>158</v>
      </c>
      <c r="T24" s="492">
        <f t="shared" si="2"/>
        <v>767</v>
      </c>
      <c r="U24" s="493">
        <v>123</v>
      </c>
      <c r="V24" s="493">
        <v>129</v>
      </c>
      <c r="W24" s="493">
        <v>140</v>
      </c>
      <c r="X24" s="493">
        <v>212</v>
      </c>
      <c r="Y24" s="493">
        <v>99</v>
      </c>
      <c r="Z24" s="492">
        <f t="shared" si="3"/>
        <v>703</v>
      </c>
      <c r="AA24" s="499"/>
      <c r="AB24" s="499"/>
      <c r="AC24" s="499"/>
      <c r="AD24" s="499"/>
      <c r="AE24" s="499"/>
      <c r="AF24" s="492">
        <f t="shared" si="4"/>
        <v>0</v>
      </c>
      <c r="AG24" s="654">
        <v>132</v>
      </c>
      <c r="AH24" s="654">
        <v>164</v>
      </c>
      <c r="AI24" s="654">
        <v>147</v>
      </c>
      <c r="AJ24" s="654">
        <v>153</v>
      </c>
      <c r="AK24" s="654">
        <v>134</v>
      </c>
      <c r="AL24" s="492">
        <f t="shared" si="5"/>
        <v>730</v>
      </c>
      <c r="AM24" s="827">
        <v>133</v>
      </c>
      <c r="AN24" s="827">
        <v>137</v>
      </c>
      <c r="AO24" s="827">
        <v>172</v>
      </c>
      <c r="AP24" s="827">
        <v>132</v>
      </c>
      <c r="AQ24" s="827">
        <v>155</v>
      </c>
      <c r="AR24" s="492">
        <f t="shared" si="6"/>
        <v>729</v>
      </c>
      <c r="AS24" s="28">
        <f t="shared" si="10"/>
        <v>3618</v>
      </c>
      <c r="AT24" s="29">
        <f t="shared" si="11"/>
        <v>25</v>
      </c>
      <c r="AU24" s="588">
        <f t="shared" si="12"/>
        <v>144.72</v>
      </c>
    </row>
    <row r="25" spans="1:47" s="30" customFormat="1" ht="15">
      <c r="A25" s="455" t="s">
        <v>17</v>
      </c>
      <c r="B25" s="408" t="s">
        <v>118</v>
      </c>
      <c r="C25" s="177">
        <v>115</v>
      </c>
      <c r="D25" s="177">
        <v>141</v>
      </c>
      <c r="E25" s="177">
        <v>89</v>
      </c>
      <c r="F25" s="177">
        <v>101</v>
      </c>
      <c r="G25" s="177">
        <v>125</v>
      </c>
      <c r="H25" s="492">
        <f t="shared" si="0"/>
        <v>571</v>
      </c>
      <c r="I25" s="493"/>
      <c r="J25" s="493"/>
      <c r="K25" s="493"/>
      <c r="L25" s="493"/>
      <c r="M25" s="493"/>
      <c r="N25" s="492">
        <f t="shared" si="1"/>
        <v>0</v>
      </c>
      <c r="O25" s="494">
        <v>99</v>
      </c>
      <c r="P25" s="494">
        <v>115</v>
      </c>
      <c r="Q25" s="494">
        <v>99</v>
      </c>
      <c r="R25" s="494">
        <v>97</v>
      </c>
      <c r="S25" s="494">
        <v>119</v>
      </c>
      <c r="T25" s="492">
        <f t="shared" si="2"/>
        <v>529</v>
      </c>
      <c r="U25" s="493">
        <v>116</v>
      </c>
      <c r="V25" s="493">
        <v>89</v>
      </c>
      <c r="W25" s="493">
        <v>107</v>
      </c>
      <c r="X25" s="493">
        <v>115</v>
      </c>
      <c r="Y25" s="493">
        <v>131</v>
      </c>
      <c r="Z25" s="492">
        <f t="shared" si="3"/>
        <v>558</v>
      </c>
      <c r="AA25" s="570">
        <v>163</v>
      </c>
      <c r="AB25" s="570">
        <v>90</v>
      </c>
      <c r="AC25" s="570">
        <v>162</v>
      </c>
      <c r="AD25" s="570">
        <v>144</v>
      </c>
      <c r="AE25" s="570">
        <v>122</v>
      </c>
      <c r="AF25" s="492">
        <f t="shared" si="4"/>
        <v>681</v>
      </c>
      <c r="AG25" s="654">
        <v>122</v>
      </c>
      <c r="AH25" s="654">
        <v>170</v>
      </c>
      <c r="AI25" s="654">
        <v>131</v>
      </c>
      <c r="AJ25" s="654">
        <v>130</v>
      </c>
      <c r="AK25" s="654">
        <v>142</v>
      </c>
      <c r="AL25" s="492">
        <f t="shared" si="5"/>
        <v>695</v>
      </c>
      <c r="AM25" s="827">
        <v>141</v>
      </c>
      <c r="AN25" s="827">
        <v>144</v>
      </c>
      <c r="AO25" s="827">
        <v>113</v>
      </c>
      <c r="AP25" s="827">
        <v>140</v>
      </c>
      <c r="AQ25" s="827">
        <v>134</v>
      </c>
      <c r="AR25" s="492">
        <f t="shared" si="6"/>
        <v>672</v>
      </c>
      <c r="AS25" s="28">
        <f t="shared" si="10"/>
        <v>3706</v>
      </c>
      <c r="AT25" s="29">
        <f t="shared" si="11"/>
        <v>30</v>
      </c>
      <c r="AU25" s="588">
        <f t="shared" si="12"/>
        <v>123.53333333333333</v>
      </c>
    </row>
    <row r="26" spans="1:47" s="30" customFormat="1" ht="15">
      <c r="A26" s="455" t="s">
        <v>17</v>
      </c>
      <c r="B26" s="408" t="s">
        <v>123</v>
      </c>
      <c r="C26" s="177">
        <v>144</v>
      </c>
      <c r="D26" s="177">
        <v>108</v>
      </c>
      <c r="E26" s="177">
        <v>98</v>
      </c>
      <c r="F26" s="177">
        <v>146</v>
      </c>
      <c r="G26" s="177">
        <v>120</v>
      </c>
      <c r="H26" s="492">
        <f t="shared" si="0"/>
        <v>616</v>
      </c>
      <c r="I26" s="493">
        <v>159</v>
      </c>
      <c r="J26" s="493">
        <v>185</v>
      </c>
      <c r="K26" s="493">
        <v>109</v>
      </c>
      <c r="L26" s="493">
        <v>115</v>
      </c>
      <c r="M26" s="493">
        <v>140</v>
      </c>
      <c r="N26" s="492">
        <f t="shared" si="1"/>
        <v>708</v>
      </c>
      <c r="O26" s="494">
        <v>129</v>
      </c>
      <c r="P26" s="494">
        <v>92</v>
      </c>
      <c r="Q26" s="494">
        <v>111</v>
      </c>
      <c r="R26" s="494">
        <v>130</v>
      </c>
      <c r="S26" s="494">
        <v>131</v>
      </c>
      <c r="T26" s="492">
        <f t="shared" si="2"/>
        <v>593</v>
      </c>
      <c r="U26" s="493">
        <v>124</v>
      </c>
      <c r="V26" s="493">
        <v>127</v>
      </c>
      <c r="W26" s="493">
        <v>139</v>
      </c>
      <c r="X26" s="493">
        <v>140</v>
      </c>
      <c r="Y26" s="493">
        <v>102</v>
      </c>
      <c r="Z26" s="492">
        <f t="shared" si="3"/>
        <v>632</v>
      </c>
      <c r="AA26" s="570">
        <v>105</v>
      </c>
      <c r="AB26" s="570">
        <v>147</v>
      </c>
      <c r="AC26" s="570">
        <v>143</v>
      </c>
      <c r="AD26" s="570">
        <v>149</v>
      </c>
      <c r="AE26" s="570">
        <v>139</v>
      </c>
      <c r="AF26" s="492">
        <f t="shared" si="4"/>
        <v>683</v>
      </c>
      <c r="AG26" s="654">
        <v>129</v>
      </c>
      <c r="AH26" s="654">
        <v>138</v>
      </c>
      <c r="AI26" s="654">
        <v>133</v>
      </c>
      <c r="AJ26" s="654">
        <v>115</v>
      </c>
      <c r="AK26" s="654">
        <v>116</v>
      </c>
      <c r="AL26" s="492">
        <f t="shared" si="5"/>
        <v>631</v>
      </c>
      <c r="AM26" s="827">
        <v>135</v>
      </c>
      <c r="AN26" s="827">
        <v>124</v>
      </c>
      <c r="AO26" s="827">
        <v>135</v>
      </c>
      <c r="AP26" s="827">
        <v>121</v>
      </c>
      <c r="AQ26" s="827">
        <v>137</v>
      </c>
      <c r="AR26" s="492">
        <f t="shared" si="6"/>
        <v>652</v>
      </c>
      <c r="AS26" s="28">
        <f>SUM(N26,H26,T26,Z26,AF26,AL26,AR26)</f>
        <v>4515</v>
      </c>
      <c r="AT26" s="29">
        <f>COUNT(C26:G26,I26:M26,O26:S26,U26:Y26,AA26:AE26,AG26:AK26,AM26:AQ26)</f>
        <v>35</v>
      </c>
      <c r="AU26" s="588">
        <f>IF(AT26=0,"",AS26/AT26)</f>
        <v>129</v>
      </c>
    </row>
    <row r="27" spans="1:47" s="30" customFormat="1" ht="15">
      <c r="A27" s="455" t="s">
        <v>17</v>
      </c>
      <c r="B27" s="408" t="s">
        <v>91</v>
      </c>
      <c r="C27" s="51"/>
      <c r="D27" s="51"/>
      <c r="E27" s="51"/>
      <c r="F27" s="51"/>
      <c r="G27" s="51"/>
      <c r="H27" s="492">
        <f t="shared" si="0"/>
        <v>0</v>
      </c>
      <c r="I27" s="493">
        <v>85</v>
      </c>
      <c r="J27" s="493">
        <v>85</v>
      </c>
      <c r="K27" s="493">
        <v>109</v>
      </c>
      <c r="L27" s="493">
        <v>107</v>
      </c>
      <c r="M27" s="493">
        <v>118</v>
      </c>
      <c r="N27" s="492">
        <f t="shared" si="1"/>
        <v>504</v>
      </c>
      <c r="O27" s="498"/>
      <c r="P27" s="498"/>
      <c r="Q27" s="498"/>
      <c r="R27" s="498"/>
      <c r="S27" s="498"/>
      <c r="T27" s="492">
        <f t="shared" si="2"/>
        <v>0</v>
      </c>
      <c r="U27" s="493">
        <v>98</v>
      </c>
      <c r="V27" s="493">
        <v>106</v>
      </c>
      <c r="W27" s="493">
        <v>118</v>
      </c>
      <c r="X27" s="493">
        <v>82</v>
      </c>
      <c r="Y27" s="493">
        <v>107</v>
      </c>
      <c r="Z27" s="492">
        <f t="shared" si="3"/>
        <v>511</v>
      </c>
      <c r="AA27" s="501"/>
      <c r="AB27" s="501"/>
      <c r="AC27" s="501"/>
      <c r="AD27" s="501"/>
      <c r="AE27" s="501"/>
      <c r="AF27" s="492">
        <f t="shared" si="4"/>
        <v>0</v>
      </c>
      <c r="AG27" s="497"/>
      <c r="AH27" s="497"/>
      <c r="AI27" s="497"/>
      <c r="AJ27" s="497"/>
      <c r="AK27" s="497"/>
      <c r="AL27" s="492">
        <f t="shared" si="5"/>
        <v>0</v>
      </c>
      <c r="AM27" s="497"/>
      <c r="AN27" s="497"/>
      <c r="AO27" s="497"/>
      <c r="AP27" s="497"/>
      <c r="AQ27" s="497"/>
      <c r="AR27" s="492">
        <f t="shared" si="6"/>
        <v>0</v>
      </c>
      <c r="AS27" s="28">
        <f>SUM(N27,H27,T27,Z27,AF27,AL27,AR27)</f>
        <v>1015</v>
      </c>
      <c r="AT27" s="29">
        <f>COUNT(C27:G27,I27:M27,O27:S27,U27:Y27,AA27:AE27,AG27:AK27,AM27:AQ27)</f>
        <v>10</v>
      </c>
      <c r="AU27" s="588">
        <f>IF(AT27=0,"",AS27/AT27)</f>
        <v>101.5</v>
      </c>
    </row>
    <row r="28" spans="1:47" s="30" customFormat="1" ht="15">
      <c r="A28" s="455" t="s">
        <v>17</v>
      </c>
      <c r="B28" s="408" t="s">
        <v>97</v>
      </c>
      <c r="C28" s="177">
        <v>133</v>
      </c>
      <c r="D28" s="177">
        <v>162</v>
      </c>
      <c r="E28" s="177">
        <v>155</v>
      </c>
      <c r="F28" s="177">
        <v>128</v>
      </c>
      <c r="G28" s="177">
        <v>166</v>
      </c>
      <c r="H28" s="492">
        <f t="shared" si="0"/>
        <v>744</v>
      </c>
      <c r="I28" s="493"/>
      <c r="J28" s="493"/>
      <c r="K28" s="493"/>
      <c r="L28" s="493"/>
      <c r="M28" s="493"/>
      <c r="N28" s="492">
        <f t="shared" si="1"/>
        <v>0</v>
      </c>
      <c r="O28" s="498"/>
      <c r="P28" s="498"/>
      <c r="Q28" s="498"/>
      <c r="R28" s="498"/>
      <c r="S28" s="498"/>
      <c r="T28" s="492">
        <f t="shared" si="2"/>
        <v>0</v>
      </c>
      <c r="U28" s="493"/>
      <c r="V28" s="493"/>
      <c r="W28" s="493"/>
      <c r="X28" s="493"/>
      <c r="Y28" s="493"/>
      <c r="Z28" s="492">
        <f t="shared" si="3"/>
        <v>0</v>
      </c>
      <c r="AA28" s="570">
        <v>122</v>
      </c>
      <c r="AB28" s="570">
        <v>136</v>
      </c>
      <c r="AC28" s="570">
        <v>151</v>
      </c>
      <c r="AD28" s="570">
        <v>130</v>
      </c>
      <c r="AE28" s="570">
        <v>178</v>
      </c>
      <c r="AF28" s="492">
        <f t="shared" si="4"/>
        <v>717</v>
      </c>
      <c r="AG28" s="652">
        <v>123</v>
      </c>
      <c r="AH28" s="652">
        <v>137</v>
      </c>
      <c r="AI28" s="652">
        <v>137</v>
      </c>
      <c r="AJ28" s="652">
        <v>142</v>
      </c>
      <c r="AK28" s="652">
        <v>125</v>
      </c>
      <c r="AL28" s="492">
        <f t="shared" si="5"/>
        <v>664</v>
      </c>
      <c r="AM28" s="827">
        <v>170</v>
      </c>
      <c r="AN28" s="827">
        <v>163</v>
      </c>
      <c r="AO28" s="827">
        <v>155</v>
      </c>
      <c r="AP28" s="827">
        <v>163</v>
      </c>
      <c r="AQ28" s="827">
        <v>141</v>
      </c>
      <c r="AR28" s="492">
        <f t="shared" si="6"/>
        <v>792</v>
      </c>
      <c r="AS28" s="28">
        <f>SUM(N28,H28,T28,Z28,AF28,AL28,AR28)</f>
        <v>2917</v>
      </c>
      <c r="AT28" s="29">
        <f>COUNT(C28:G28,I28:M28,O28:S28,U28:Y28,AA28:AE28,AG28:AK28,AM28:AQ28)</f>
        <v>20</v>
      </c>
      <c r="AU28" s="588">
        <f>IF(AT28=0,"",AS28/AT28)</f>
        <v>145.85</v>
      </c>
    </row>
    <row r="29" spans="1:47" s="30" customFormat="1" ht="15">
      <c r="A29" s="455"/>
      <c r="B29" s="408"/>
      <c r="C29" s="35"/>
      <c r="D29" s="35"/>
      <c r="E29" s="35"/>
      <c r="F29" s="35"/>
      <c r="G29" s="35"/>
      <c r="H29" s="492"/>
      <c r="I29" s="493"/>
      <c r="J29" s="493"/>
      <c r="K29" s="493"/>
      <c r="L29" s="493"/>
      <c r="M29" s="493"/>
      <c r="N29" s="492"/>
      <c r="O29" s="498"/>
      <c r="P29" s="498"/>
      <c r="Q29" s="498"/>
      <c r="R29" s="498"/>
      <c r="S29" s="498"/>
      <c r="T29" s="492"/>
      <c r="U29" s="493"/>
      <c r="V29" s="493"/>
      <c r="W29" s="493"/>
      <c r="X29" s="493"/>
      <c r="Y29" s="493"/>
      <c r="Z29" s="492"/>
      <c r="AA29" s="501"/>
      <c r="AB29" s="501"/>
      <c r="AC29" s="501"/>
      <c r="AD29" s="501"/>
      <c r="AE29" s="501"/>
      <c r="AF29" s="492"/>
      <c r="AG29" s="497"/>
      <c r="AH29" s="497"/>
      <c r="AI29" s="497"/>
      <c r="AJ29" s="497"/>
      <c r="AK29" s="497"/>
      <c r="AL29" s="492"/>
      <c r="AM29" s="497"/>
      <c r="AN29" s="497"/>
      <c r="AO29" s="497"/>
      <c r="AP29" s="497"/>
      <c r="AQ29" s="497"/>
      <c r="AR29" s="492"/>
      <c r="AS29" s="28"/>
      <c r="AT29" s="29"/>
      <c r="AU29" s="516"/>
    </row>
    <row r="30" spans="1:47" s="30" customFormat="1" ht="15">
      <c r="A30" s="455"/>
      <c r="B30" s="408"/>
      <c r="C30" s="51"/>
      <c r="D30" s="51"/>
      <c r="E30" s="51"/>
      <c r="F30" s="51"/>
      <c r="G30" s="51"/>
      <c r="H30" s="492"/>
      <c r="I30" s="495"/>
      <c r="J30" s="495"/>
      <c r="K30" s="495"/>
      <c r="L30" s="495"/>
      <c r="M30" s="495"/>
      <c r="N30" s="509"/>
      <c r="O30" s="497"/>
      <c r="P30" s="497"/>
      <c r="Q30" s="497"/>
      <c r="R30" s="497"/>
      <c r="S30" s="497"/>
      <c r="T30" s="509"/>
      <c r="U30" s="493"/>
      <c r="V30" s="493"/>
      <c r="W30" s="493"/>
      <c r="X30" s="493"/>
      <c r="Y30" s="493"/>
      <c r="Z30" s="509"/>
      <c r="AA30" s="501"/>
      <c r="AB30" s="501"/>
      <c r="AC30" s="501"/>
      <c r="AD30" s="501"/>
      <c r="AE30" s="501"/>
      <c r="AF30" s="509"/>
      <c r="AG30" s="497"/>
      <c r="AH30" s="497"/>
      <c r="AI30" s="497"/>
      <c r="AJ30" s="497"/>
      <c r="AK30" s="497"/>
      <c r="AL30" s="509"/>
      <c r="AM30" s="497"/>
      <c r="AN30" s="497"/>
      <c r="AO30" s="497"/>
      <c r="AP30" s="497"/>
      <c r="AQ30" s="497"/>
      <c r="AR30" s="509"/>
      <c r="AS30" s="28"/>
      <c r="AT30" s="29"/>
      <c r="AU30" s="516"/>
    </row>
    <row r="31" spans="1:47" s="30" customFormat="1" ht="15.75" thickBot="1">
      <c r="A31" s="456"/>
      <c r="B31" s="457"/>
      <c r="C31" s="439"/>
      <c r="D31" s="439"/>
      <c r="E31" s="439"/>
      <c r="F31" s="439"/>
      <c r="G31" s="439"/>
      <c r="H31" s="440"/>
      <c r="I31" s="439"/>
      <c r="J31" s="439"/>
      <c r="K31" s="439"/>
      <c r="L31" s="439"/>
      <c r="M31" s="439"/>
      <c r="N31" s="441"/>
      <c r="O31" s="441"/>
      <c r="P31" s="441"/>
      <c r="Q31" s="441"/>
      <c r="R31" s="441"/>
      <c r="S31" s="441"/>
      <c r="T31" s="441"/>
      <c r="U31" s="442"/>
      <c r="V31" s="442"/>
      <c r="W31" s="442"/>
      <c r="X31" s="442"/>
      <c r="Y31" s="442"/>
      <c r="Z31" s="441"/>
      <c r="AA31" s="442"/>
      <c r="AB31" s="442"/>
      <c r="AC31" s="442"/>
      <c r="AD31" s="442"/>
      <c r="AE31" s="442"/>
      <c r="AF31" s="441"/>
      <c r="AG31" s="441"/>
      <c r="AH31" s="441"/>
      <c r="AI31" s="441"/>
      <c r="AJ31" s="441"/>
      <c r="AK31" s="441"/>
      <c r="AL31" s="441"/>
      <c r="AM31" s="441"/>
      <c r="AN31" s="441"/>
      <c r="AO31" s="441"/>
      <c r="AP31" s="441"/>
      <c r="AQ31" s="441"/>
      <c r="AR31" s="441"/>
      <c r="AS31" s="441">
        <f>SUM(AS10:AS27)</f>
        <v>45759</v>
      </c>
      <c r="AT31" s="441">
        <f>SUM(AT10:AT27)</f>
        <v>330</v>
      </c>
      <c r="AU31" s="443">
        <f>IF(AT31=0,"",AS31/AT31)</f>
        <v>138.66363636363636</v>
      </c>
    </row>
    <row r="32" spans="1:47" s="30" customFormat="1" ht="15.75" thickBot="1">
      <c r="A32" s="448"/>
      <c r="B32" s="458"/>
      <c r="C32" s="446"/>
      <c r="D32" s="446"/>
      <c r="E32" s="446"/>
      <c r="F32" s="446"/>
      <c r="G32" s="446"/>
      <c r="H32" s="447"/>
      <c r="I32" s="446"/>
      <c r="J32" s="446"/>
      <c r="K32" s="446"/>
      <c r="L32" s="446"/>
      <c r="M32" s="446"/>
      <c r="N32" s="447"/>
      <c r="O32" s="447"/>
      <c r="P32" s="447"/>
      <c r="Q32" s="447"/>
      <c r="R32" s="447"/>
      <c r="S32" s="447"/>
      <c r="T32" s="447"/>
      <c r="U32" s="448"/>
      <c r="V32" s="448"/>
      <c r="W32" s="448"/>
      <c r="X32" s="448"/>
      <c r="Y32" s="448"/>
      <c r="Z32" s="447"/>
      <c r="AA32" s="448"/>
      <c r="AB32" s="448"/>
      <c r="AC32" s="448"/>
      <c r="AD32" s="448"/>
      <c r="AE32" s="448"/>
      <c r="AF32" s="447"/>
      <c r="AG32" s="447"/>
      <c r="AH32" s="447"/>
      <c r="AI32" s="447"/>
      <c r="AJ32" s="447"/>
      <c r="AK32" s="447"/>
      <c r="AL32" s="447"/>
      <c r="AM32" s="447"/>
      <c r="AN32" s="447"/>
      <c r="AO32" s="447"/>
      <c r="AP32" s="447"/>
      <c r="AQ32" s="447"/>
      <c r="AR32" s="447"/>
      <c r="AS32" s="447"/>
      <c r="AT32" s="447"/>
      <c r="AU32" s="449"/>
    </row>
    <row r="33" spans="1:47" s="30" customFormat="1" ht="15">
      <c r="A33" s="459" t="s">
        <v>6</v>
      </c>
      <c r="B33" s="460" t="s">
        <v>5</v>
      </c>
      <c r="C33" s="452">
        <v>136</v>
      </c>
      <c r="D33" s="452">
        <v>133</v>
      </c>
      <c r="E33" s="452">
        <v>171</v>
      </c>
      <c r="F33" s="452">
        <v>159</v>
      </c>
      <c r="G33" s="452">
        <v>153</v>
      </c>
      <c r="H33" s="489">
        <f t="shared" ref="H33:H45" si="13">SUM(C33+D33+E33+F33+G33)</f>
        <v>752</v>
      </c>
      <c r="I33" s="490">
        <v>156</v>
      </c>
      <c r="J33" s="490">
        <v>180</v>
      </c>
      <c r="K33" s="490">
        <v>178</v>
      </c>
      <c r="L33" s="490">
        <v>184</v>
      </c>
      <c r="M33" s="490">
        <v>162</v>
      </c>
      <c r="N33" s="489">
        <f t="shared" ref="N33:N45" si="14">SUM(I33+J33+K33+L33+M33)</f>
        <v>860</v>
      </c>
      <c r="O33" s="491">
        <v>170</v>
      </c>
      <c r="P33" s="491">
        <v>127</v>
      </c>
      <c r="Q33" s="491">
        <v>138</v>
      </c>
      <c r="R33" s="491">
        <v>133</v>
      </c>
      <c r="S33" s="491">
        <v>137</v>
      </c>
      <c r="T33" s="489">
        <f t="shared" ref="T33:T45" si="15">SUM(O33+P33+Q33+R33+S33)</f>
        <v>705</v>
      </c>
      <c r="U33" s="490">
        <v>191</v>
      </c>
      <c r="V33" s="490">
        <v>137</v>
      </c>
      <c r="W33" s="490">
        <v>200</v>
      </c>
      <c r="X33" s="490">
        <v>153</v>
      </c>
      <c r="Y33" s="490">
        <v>161</v>
      </c>
      <c r="Z33" s="489">
        <f t="shared" ref="Z33:Z45" si="16">SUM(U33+V33+W33+X33+Y33)</f>
        <v>842</v>
      </c>
      <c r="AA33" s="587">
        <v>114</v>
      </c>
      <c r="AB33" s="587">
        <v>110</v>
      </c>
      <c r="AC33" s="587">
        <v>156</v>
      </c>
      <c r="AD33" s="587">
        <v>172</v>
      </c>
      <c r="AE33" s="587">
        <v>131</v>
      </c>
      <c r="AF33" s="489">
        <f t="shared" ref="AF33:AF46" si="17">SUM(AA33+AB33+AC33+AD33+AE33)</f>
        <v>683</v>
      </c>
      <c r="AG33" s="653">
        <v>146</v>
      </c>
      <c r="AH33" s="653">
        <v>192</v>
      </c>
      <c r="AI33" s="653">
        <v>147</v>
      </c>
      <c r="AJ33" s="653">
        <v>127</v>
      </c>
      <c r="AK33" s="653">
        <v>150</v>
      </c>
      <c r="AL33" s="489">
        <f t="shared" ref="AL33:AL46" si="18">SUM(AG33+AH33+AI33+AJ33+AK33)</f>
        <v>762</v>
      </c>
      <c r="AM33" s="830">
        <v>160</v>
      </c>
      <c r="AN33" s="830">
        <v>147</v>
      </c>
      <c r="AO33" s="830">
        <v>150</v>
      </c>
      <c r="AP33" s="830">
        <v>185</v>
      </c>
      <c r="AQ33" s="830">
        <v>168</v>
      </c>
      <c r="AR33" s="489">
        <f t="shared" ref="AR33:AR46" si="19">SUM(AM33+AN33+AO33+AP33+AQ33)</f>
        <v>810</v>
      </c>
      <c r="AS33" s="453">
        <f t="shared" ref="AS33:AS40" si="20">SUM(N33,H33,T33,Z33,AF33,AL33,AR33)</f>
        <v>5414</v>
      </c>
      <c r="AT33" s="454">
        <f t="shared" ref="AT33:AT40" si="21">COUNT(C33:G33,I33:M33,O33:S33,U33:Y33,AA33:AE33,AG33:AK33,AM33:AQ33)</f>
        <v>35</v>
      </c>
      <c r="AU33" s="589">
        <f t="shared" ref="AU33:AU40" si="22">IF(AT33=0,"",AS33/AT33)</f>
        <v>154.68571428571428</v>
      </c>
    </row>
    <row r="34" spans="1:47" s="30" customFormat="1" ht="15">
      <c r="A34" s="461" t="s">
        <v>6</v>
      </c>
      <c r="B34" s="409" t="s">
        <v>70</v>
      </c>
      <c r="C34" s="177">
        <v>122</v>
      </c>
      <c r="D34" s="177">
        <v>122</v>
      </c>
      <c r="E34" s="177">
        <v>144</v>
      </c>
      <c r="F34" s="177">
        <v>127</v>
      </c>
      <c r="G34" s="177">
        <v>142</v>
      </c>
      <c r="H34" s="492">
        <f t="shared" si="13"/>
        <v>657</v>
      </c>
      <c r="I34" s="493">
        <v>121</v>
      </c>
      <c r="J34" s="493">
        <v>134</v>
      </c>
      <c r="K34" s="493">
        <v>132</v>
      </c>
      <c r="L34" s="493">
        <v>134</v>
      </c>
      <c r="M34" s="493">
        <v>172</v>
      </c>
      <c r="N34" s="492">
        <f t="shared" si="14"/>
        <v>693</v>
      </c>
      <c r="O34" s="494">
        <v>156</v>
      </c>
      <c r="P34" s="494">
        <v>167</v>
      </c>
      <c r="Q34" s="494">
        <v>144</v>
      </c>
      <c r="R34" s="494">
        <v>107</v>
      </c>
      <c r="S34" s="494">
        <v>168</v>
      </c>
      <c r="T34" s="492">
        <f t="shared" si="15"/>
        <v>742</v>
      </c>
      <c r="U34" s="493">
        <v>165</v>
      </c>
      <c r="V34" s="493">
        <v>122</v>
      </c>
      <c r="W34" s="493">
        <v>137</v>
      </c>
      <c r="X34" s="493">
        <v>111</v>
      </c>
      <c r="Y34" s="493">
        <v>131</v>
      </c>
      <c r="Z34" s="492">
        <f t="shared" si="16"/>
        <v>666</v>
      </c>
      <c r="AA34" s="562"/>
      <c r="AB34" s="562"/>
      <c r="AC34" s="562"/>
      <c r="AD34" s="562"/>
      <c r="AE34" s="562"/>
      <c r="AF34" s="492">
        <f t="shared" si="17"/>
        <v>0</v>
      </c>
      <c r="AG34" s="655">
        <v>140</v>
      </c>
      <c r="AH34" s="655">
        <v>181</v>
      </c>
      <c r="AI34" s="655">
        <v>127</v>
      </c>
      <c r="AJ34" s="655">
        <v>155</v>
      </c>
      <c r="AK34" s="655">
        <v>120</v>
      </c>
      <c r="AL34" s="492">
        <f t="shared" si="18"/>
        <v>723</v>
      </c>
      <c r="AM34" s="45">
        <v>124</v>
      </c>
      <c r="AN34" s="45">
        <v>135</v>
      </c>
      <c r="AO34" s="45">
        <v>111</v>
      </c>
      <c r="AP34" s="45">
        <v>105</v>
      </c>
      <c r="AQ34" s="45">
        <v>150</v>
      </c>
      <c r="AR34" s="492">
        <f t="shared" si="19"/>
        <v>625</v>
      </c>
      <c r="AS34" s="28">
        <f t="shared" si="20"/>
        <v>4106</v>
      </c>
      <c r="AT34" s="29">
        <f t="shared" si="21"/>
        <v>30</v>
      </c>
      <c r="AU34" s="588">
        <f t="shared" si="22"/>
        <v>136.86666666666667</v>
      </c>
    </row>
    <row r="35" spans="1:47" s="30" customFormat="1" ht="15">
      <c r="A35" s="461" t="s">
        <v>6</v>
      </c>
      <c r="B35" s="410" t="s">
        <v>10</v>
      </c>
      <c r="C35" s="177">
        <v>169</v>
      </c>
      <c r="D35" s="177">
        <v>128</v>
      </c>
      <c r="E35" s="177">
        <v>132</v>
      </c>
      <c r="F35" s="177">
        <v>208</v>
      </c>
      <c r="G35" s="177">
        <v>188</v>
      </c>
      <c r="H35" s="492">
        <f t="shared" si="13"/>
        <v>825</v>
      </c>
      <c r="I35" s="493">
        <v>135</v>
      </c>
      <c r="J35" s="493">
        <v>143</v>
      </c>
      <c r="K35" s="493">
        <v>134</v>
      </c>
      <c r="L35" s="493">
        <v>184</v>
      </c>
      <c r="M35" s="493">
        <v>132</v>
      </c>
      <c r="N35" s="492">
        <f t="shared" si="14"/>
        <v>728</v>
      </c>
      <c r="O35" s="494">
        <v>161</v>
      </c>
      <c r="P35" s="494">
        <v>145</v>
      </c>
      <c r="Q35" s="494">
        <v>117</v>
      </c>
      <c r="R35" s="494">
        <v>179</v>
      </c>
      <c r="S35" s="494">
        <v>131</v>
      </c>
      <c r="T35" s="492">
        <f t="shared" si="15"/>
        <v>733</v>
      </c>
      <c r="U35" s="493">
        <v>132</v>
      </c>
      <c r="V35" s="493">
        <v>157</v>
      </c>
      <c r="W35" s="493">
        <v>137</v>
      </c>
      <c r="X35" s="493">
        <v>166</v>
      </c>
      <c r="Y35" s="493">
        <v>131</v>
      </c>
      <c r="Z35" s="492">
        <f t="shared" si="16"/>
        <v>723</v>
      </c>
      <c r="AA35" s="570">
        <v>128</v>
      </c>
      <c r="AB35" s="570">
        <v>169</v>
      </c>
      <c r="AC35" s="570">
        <v>171</v>
      </c>
      <c r="AD35" s="570">
        <v>98</v>
      </c>
      <c r="AE35" s="570">
        <v>159</v>
      </c>
      <c r="AF35" s="492">
        <f t="shared" si="17"/>
        <v>725</v>
      </c>
      <c r="AG35" s="496"/>
      <c r="AH35" s="496"/>
      <c r="AI35" s="496"/>
      <c r="AJ35" s="496"/>
      <c r="AK35" s="496"/>
      <c r="AL35" s="492">
        <f t="shared" si="18"/>
        <v>0</v>
      </c>
      <c r="AM35" s="829"/>
      <c r="AN35" s="829"/>
      <c r="AO35" s="829"/>
      <c r="AP35" s="829"/>
      <c r="AQ35" s="829"/>
      <c r="AR35" s="492">
        <f t="shared" si="19"/>
        <v>0</v>
      </c>
      <c r="AS35" s="28">
        <f t="shared" si="20"/>
        <v>3734</v>
      </c>
      <c r="AT35" s="29">
        <f t="shared" si="21"/>
        <v>25</v>
      </c>
      <c r="AU35" s="588">
        <f t="shared" si="22"/>
        <v>149.36000000000001</v>
      </c>
    </row>
    <row r="36" spans="1:47" s="30" customFormat="1" ht="15">
      <c r="A36" s="461" t="s">
        <v>6</v>
      </c>
      <c r="B36" s="409" t="s">
        <v>9</v>
      </c>
      <c r="C36" s="177">
        <v>184</v>
      </c>
      <c r="D36" s="177">
        <v>165</v>
      </c>
      <c r="E36" s="177">
        <v>192</v>
      </c>
      <c r="F36" s="177">
        <v>170</v>
      </c>
      <c r="G36" s="177">
        <v>184</v>
      </c>
      <c r="H36" s="492">
        <f t="shared" si="13"/>
        <v>895</v>
      </c>
      <c r="I36" s="493">
        <v>167</v>
      </c>
      <c r="J36" s="493">
        <v>172</v>
      </c>
      <c r="K36" s="493">
        <v>158</v>
      </c>
      <c r="L36" s="493">
        <v>151</v>
      </c>
      <c r="M36" s="493">
        <v>178</v>
      </c>
      <c r="N36" s="492">
        <f t="shared" si="14"/>
        <v>826</v>
      </c>
      <c r="O36" s="494">
        <v>150</v>
      </c>
      <c r="P36" s="494">
        <v>205</v>
      </c>
      <c r="Q36" s="494">
        <v>186</v>
      </c>
      <c r="R36" s="494">
        <v>145</v>
      </c>
      <c r="S36" s="494">
        <v>173</v>
      </c>
      <c r="T36" s="492">
        <f t="shared" si="15"/>
        <v>859</v>
      </c>
      <c r="U36" s="493">
        <v>153</v>
      </c>
      <c r="V36" s="493">
        <v>243</v>
      </c>
      <c r="W36" s="493">
        <v>158</v>
      </c>
      <c r="X36" s="493">
        <v>157</v>
      </c>
      <c r="Y36" s="493">
        <v>143</v>
      </c>
      <c r="Z36" s="492">
        <f t="shared" si="16"/>
        <v>854</v>
      </c>
      <c r="AA36" s="562"/>
      <c r="AB36" s="562"/>
      <c r="AC36" s="562"/>
      <c r="AD36" s="562"/>
      <c r="AE36" s="562"/>
      <c r="AF36" s="492">
        <f t="shared" si="17"/>
        <v>0</v>
      </c>
      <c r="AG36" s="655">
        <v>106</v>
      </c>
      <c r="AH36" s="655">
        <v>134</v>
      </c>
      <c r="AI36" s="655">
        <v>143</v>
      </c>
      <c r="AJ36" s="655">
        <v>149</v>
      </c>
      <c r="AK36" s="655">
        <v>125</v>
      </c>
      <c r="AL36" s="492">
        <f t="shared" si="18"/>
        <v>657</v>
      </c>
      <c r="AM36" s="45">
        <v>120</v>
      </c>
      <c r="AN36" s="45">
        <v>141</v>
      </c>
      <c r="AO36" s="45">
        <v>116</v>
      </c>
      <c r="AP36" s="45">
        <v>136</v>
      </c>
      <c r="AQ36" s="45">
        <v>156</v>
      </c>
      <c r="AR36" s="492">
        <f t="shared" si="19"/>
        <v>669</v>
      </c>
      <c r="AS36" s="28">
        <f t="shared" si="20"/>
        <v>4760</v>
      </c>
      <c r="AT36" s="29">
        <f t="shared" si="21"/>
        <v>30</v>
      </c>
      <c r="AU36" s="588">
        <f t="shared" si="22"/>
        <v>158.66666666666666</v>
      </c>
    </row>
    <row r="37" spans="1:47" s="30" customFormat="1" ht="15">
      <c r="A37" s="461" t="s">
        <v>6</v>
      </c>
      <c r="B37" s="409" t="s">
        <v>36</v>
      </c>
      <c r="C37" s="177">
        <v>113</v>
      </c>
      <c r="D37" s="177">
        <v>170</v>
      </c>
      <c r="E37" s="177">
        <v>137</v>
      </c>
      <c r="F37" s="177">
        <v>158</v>
      </c>
      <c r="G37" s="177">
        <v>159</v>
      </c>
      <c r="H37" s="492">
        <f t="shared" si="13"/>
        <v>737</v>
      </c>
      <c r="I37" s="496"/>
      <c r="J37" s="496"/>
      <c r="K37" s="496"/>
      <c r="L37" s="496"/>
      <c r="M37" s="496"/>
      <c r="N37" s="492">
        <f t="shared" si="14"/>
        <v>0</v>
      </c>
      <c r="O37" s="498"/>
      <c r="P37" s="498"/>
      <c r="Q37" s="498"/>
      <c r="R37" s="498"/>
      <c r="S37" s="498"/>
      <c r="T37" s="492">
        <f t="shared" si="15"/>
        <v>0</v>
      </c>
      <c r="U37" s="493">
        <v>125</v>
      </c>
      <c r="V37" s="493">
        <v>105</v>
      </c>
      <c r="W37" s="493">
        <v>179</v>
      </c>
      <c r="X37" s="493">
        <v>164</v>
      </c>
      <c r="Y37" s="493">
        <v>152</v>
      </c>
      <c r="Z37" s="492">
        <f t="shared" si="16"/>
        <v>725</v>
      </c>
      <c r="AA37" s="570">
        <v>136</v>
      </c>
      <c r="AB37" s="570">
        <v>154</v>
      </c>
      <c r="AC37" s="570">
        <v>125</v>
      </c>
      <c r="AD37" s="570">
        <v>117</v>
      </c>
      <c r="AE37" s="570">
        <v>171</v>
      </c>
      <c r="AF37" s="492">
        <f t="shared" si="17"/>
        <v>703</v>
      </c>
      <c r="AG37" s="655">
        <v>135</v>
      </c>
      <c r="AH37" s="655">
        <v>128</v>
      </c>
      <c r="AI37" s="655">
        <v>111</v>
      </c>
      <c r="AJ37" s="655">
        <v>125</v>
      </c>
      <c r="AK37" s="655">
        <v>178</v>
      </c>
      <c r="AL37" s="492">
        <f t="shared" si="18"/>
        <v>677</v>
      </c>
      <c r="AM37" s="45">
        <v>157</v>
      </c>
      <c r="AN37" s="45">
        <v>208</v>
      </c>
      <c r="AO37" s="45">
        <v>177</v>
      </c>
      <c r="AP37" s="45">
        <v>123</v>
      </c>
      <c r="AQ37" s="45">
        <v>138</v>
      </c>
      <c r="AR37" s="492">
        <f t="shared" si="19"/>
        <v>803</v>
      </c>
      <c r="AS37" s="28">
        <f t="shared" si="20"/>
        <v>3645</v>
      </c>
      <c r="AT37" s="29">
        <f t="shared" si="21"/>
        <v>25</v>
      </c>
      <c r="AU37" s="588">
        <f t="shared" si="22"/>
        <v>145.80000000000001</v>
      </c>
    </row>
    <row r="38" spans="1:47" s="30" customFormat="1" ht="15">
      <c r="A38" s="461" t="s">
        <v>6</v>
      </c>
      <c r="B38" s="411" t="s">
        <v>37</v>
      </c>
      <c r="C38" s="177">
        <v>103</v>
      </c>
      <c r="D38" s="177">
        <v>134</v>
      </c>
      <c r="E38" s="177">
        <v>169</v>
      </c>
      <c r="F38" s="177">
        <v>115</v>
      </c>
      <c r="G38" s="177">
        <v>115</v>
      </c>
      <c r="H38" s="492">
        <f t="shared" si="13"/>
        <v>636</v>
      </c>
      <c r="I38" s="493">
        <v>165</v>
      </c>
      <c r="J38" s="493">
        <v>128</v>
      </c>
      <c r="K38" s="493">
        <v>197</v>
      </c>
      <c r="L38" s="493">
        <v>141</v>
      </c>
      <c r="M38" s="493">
        <v>135</v>
      </c>
      <c r="N38" s="492">
        <f t="shared" si="14"/>
        <v>766</v>
      </c>
      <c r="O38" s="494">
        <v>148</v>
      </c>
      <c r="P38" s="494">
        <v>153</v>
      </c>
      <c r="Q38" s="494">
        <v>119</v>
      </c>
      <c r="R38" s="494">
        <v>123</v>
      </c>
      <c r="S38" s="494">
        <v>129</v>
      </c>
      <c r="T38" s="492">
        <f t="shared" si="15"/>
        <v>672</v>
      </c>
      <c r="U38" s="493">
        <v>160</v>
      </c>
      <c r="V38" s="493">
        <v>170</v>
      </c>
      <c r="W38" s="493">
        <v>124</v>
      </c>
      <c r="X38" s="493">
        <v>170</v>
      </c>
      <c r="Y38" s="493">
        <v>161</v>
      </c>
      <c r="Z38" s="492">
        <f t="shared" si="16"/>
        <v>785</v>
      </c>
      <c r="AA38" s="570">
        <v>149</v>
      </c>
      <c r="AB38" s="570">
        <v>112</v>
      </c>
      <c r="AC38" s="570">
        <v>113</v>
      </c>
      <c r="AD38" s="570">
        <v>135</v>
      </c>
      <c r="AE38" s="570">
        <v>160</v>
      </c>
      <c r="AF38" s="492">
        <f t="shared" si="17"/>
        <v>669</v>
      </c>
      <c r="AG38" s="496"/>
      <c r="AH38" s="496"/>
      <c r="AI38" s="496"/>
      <c r="AJ38" s="496"/>
      <c r="AK38" s="496"/>
      <c r="AL38" s="492">
        <f t="shared" si="18"/>
        <v>0</v>
      </c>
      <c r="AM38" s="45">
        <v>118</v>
      </c>
      <c r="AN38" s="45">
        <v>115</v>
      </c>
      <c r="AO38" s="45">
        <v>135</v>
      </c>
      <c r="AP38" s="45">
        <v>137</v>
      </c>
      <c r="AQ38" s="45">
        <v>126</v>
      </c>
      <c r="AR38" s="492">
        <f t="shared" si="19"/>
        <v>631</v>
      </c>
      <c r="AS38" s="28">
        <f t="shared" si="20"/>
        <v>4159</v>
      </c>
      <c r="AT38" s="29">
        <f t="shared" si="21"/>
        <v>30</v>
      </c>
      <c r="AU38" s="588">
        <f t="shared" si="22"/>
        <v>138.63333333333333</v>
      </c>
    </row>
    <row r="39" spans="1:47" s="30" customFormat="1" ht="15">
      <c r="A39" s="461" t="s">
        <v>6</v>
      </c>
      <c r="B39" s="409" t="s">
        <v>290</v>
      </c>
      <c r="C39" s="41"/>
      <c r="D39" s="41"/>
      <c r="E39" s="41"/>
      <c r="F39" s="41"/>
      <c r="G39" s="61"/>
      <c r="H39" s="492">
        <f t="shared" si="13"/>
        <v>0</v>
      </c>
      <c r="I39" s="496"/>
      <c r="J39" s="496"/>
      <c r="K39" s="496"/>
      <c r="L39" s="496"/>
      <c r="M39" s="496"/>
      <c r="N39" s="492">
        <f t="shared" si="14"/>
        <v>0</v>
      </c>
      <c r="O39" s="498"/>
      <c r="P39" s="498"/>
      <c r="Q39" s="498"/>
      <c r="R39" s="498"/>
      <c r="S39" s="498"/>
      <c r="T39" s="492">
        <f t="shared" si="15"/>
        <v>0</v>
      </c>
      <c r="U39" s="493"/>
      <c r="V39" s="501"/>
      <c r="W39" s="501"/>
      <c r="X39" s="501"/>
      <c r="Y39" s="501"/>
      <c r="Z39" s="492">
        <f t="shared" si="16"/>
        <v>0</v>
      </c>
      <c r="AA39" s="570">
        <v>143</v>
      </c>
      <c r="AB39" s="570">
        <v>185</v>
      </c>
      <c r="AC39" s="570">
        <v>122</v>
      </c>
      <c r="AD39" s="570">
        <v>118</v>
      </c>
      <c r="AE39" s="570">
        <v>153</v>
      </c>
      <c r="AF39" s="492">
        <f t="shared" si="17"/>
        <v>721</v>
      </c>
      <c r="AG39" s="655">
        <v>125</v>
      </c>
      <c r="AH39" s="655">
        <v>170</v>
      </c>
      <c r="AI39" s="655">
        <v>108</v>
      </c>
      <c r="AJ39" s="655">
        <v>129</v>
      </c>
      <c r="AK39" s="655">
        <v>142</v>
      </c>
      <c r="AL39" s="492">
        <f t="shared" si="18"/>
        <v>674</v>
      </c>
      <c r="AM39" s="45">
        <v>100</v>
      </c>
      <c r="AN39" s="45">
        <v>103</v>
      </c>
      <c r="AO39" s="45">
        <v>168</v>
      </c>
      <c r="AP39" s="45">
        <v>141</v>
      </c>
      <c r="AQ39" s="45">
        <v>137</v>
      </c>
      <c r="AR39" s="492">
        <f t="shared" si="19"/>
        <v>649</v>
      </c>
      <c r="AS39" s="28">
        <f t="shared" si="20"/>
        <v>2044</v>
      </c>
      <c r="AT39" s="29">
        <f t="shared" si="21"/>
        <v>15</v>
      </c>
      <c r="AU39" s="588">
        <f t="shared" si="22"/>
        <v>136.26666666666668</v>
      </c>
    </row>
    <row r="40" spans="1:47" s="30" customFormat="1" ht="15">
      <c r="A40" s="461" t="s">
        <v>6</v>
      </c>
      <c r="B40" s="411" t="s">
        <v>18</v>
      </c>
      <c r="C40" s="177">
        <v>102</v>
      </c>
      <c r="D40" s="177">
        <v>153</v>
      </c>
      <c r="E40" s="177">
        <v>110</v>
      </c>
      <c r="F40" s="177">
        <v>145</v>
      </c>
      <c r="G40" s="177">
        <v>104</v>
      </c>
      <c r="H40" s="492">
        <f t="shared" si="13"/>
        <v>614</v>
      </c>
      <c r="I40" s="493">
        <v>107</v>
      </c>
      <c r="J40" s="493">
        <v>116</v>
      </c>
      <c r="K40" s="493">
        <v>158</v>
      </c>
      <c r="L40" s="493">
        <v>112</v>
      </c>
      <c r="M40" s="493">
        <v>125</v>
      </c>
      <c r="N40" s="492">
        <f t="shared" si="14"/>
        <v>618</v>
      </c>
      <c r="O40" s="494">
        <v>151</v>
      </c>
      <c r="P40" s="494">
        <v>117</v>
      </c>
      <c r="Q40" s="494">
        <v>158</v>
      </c>
      <c r="R40" s="494">
        <v>120</v>
      </c>
      <c r="S40" s="494">
        <v>137</v>
      </c>
      <c r="T40" s="492">
        <f t="shared" si="15"/>
        <v>683</v>
      </c>
      <c r="U40" s="493">
        <v>159</v>
      </c>
      <c r="V40" s="493">
        <v>168</v>
      </c>
      <c r="W40" s="493">
        <v>123</v>
      </c>
      <c r="X40" s="493">
        <v>151</v>
      </c>
      <c r="Y40" s="493">
        <v>152</v>
      </c>
      <c r="Z40" s="492">
        <f t="shared" si="16"/>
        <v>753</v>
      </c>
      <c r="AA40" s="570">
        <v>126</v>
      </c>
      <c r="AB40" s="570">
        <v>130</v>
      </c>
      <c r="AC40" s="570">
        <v>135</v>
      </c>
      <c r="AD40" s="570">
        <v>140</v>
      </c>
      <c r="AE40" s="570">
        <v>187</v>
      </c>
      <c r="AF40" s="492">
        <f t="shared" si="17"/>
        <v>718</v>
      </c>
      <c r="AG40" s="655">
        <v>142</v>
      </c>
      <c r="AH40" s="655">
        <v>130</v>
      </c>
      <c r="AI40" s="655">
        <v>155</v>
      </c>
      <c r="AJ40" s="655">
        <v>137</v>
      </c>
      <c r="AK40" s="655">
        <v>127</v>
      </c>
      <c r="AL40" s="492">
        <f t="shared" si="18"/>
        <v>691</v>
      </c>
      <c r="AM40" s="45">
        <v>143</v>
      </c>
      <c r="AN40" s="45">
        <v>132</v>
      </c>
      <c r="AO40" s="45">
        <v>141</v>
      </c>
      <c r="AP40" s="45">
        <v>137</v>
      </c>
      <c r="AQ40" s="45">
        <v>128</v>
      </c>
      <c r="AR40" s="492">
        <f t="shared" si="19"/>
        <v>681</v>
      </c>
      <c r="AS40" s="28">
        <f t="shared" si="20"/>
        <v>4758</v>
      </c>
      <c r="AT40" s="29">
        <f t="shared" si="21"/>
        <v>35</v>
      </c>
      <c r="AU40" s="588">
        <f t="shared" si="22"/>
        <v>135.94285714285715</v>
      </c>
    </row>
    <row r="41" spans="1:47" s="30" customFormat="1" ht="15">
      <c r="A41" s="461" t="s">
        <v>6</v>
      </c>
      <c r="B41" s="411" t="s">
        <v>221</v>
      </c>
      <c r="C41" s="177"/>
      <c r="D41" s="177"/>
      <c r="E41" s="177"/>
      <c r="F41" s="177"/>
      <c r="G41" s="177"/>
      <c r="H41" s="492">
        <f t="shared" si="13"/>
        <v>0</v>
      </c>
      <c r="I41" s="493">
        <v>134</v>
      </c>
      <c r="J41" s="493">
        <v>130</v>
      </c>
      <c r="K41" s="493">
        <v>110</v>
      </c>
      <c r="L41" s="493">
        <v>112</v>
      </c>
      <c r="M41" s="493">
        <v>139</v>
      </c>
      <c r="N41" s="492">
        <f t="shared" si="14"/>
        <v>625</v>
      </c>
      <c r="O41" s="501"/>
      <c r="P41" s="501"/>
      <c r="Q41" s="501"/>
      <c r="R41" s="501"/>
      <c r="S41" s="501"/>
      <c r="T41" s="492">
        <f t="shared" si="15"/>
        <v>0</v>
      </c>
      <c r="U41" s="502"/>
      <c r="V41" s="502"/>
      <c r="W41" s="502"/>
      <c r="X41" s="502"/>
      <c r="Y41" s="502"/>
      <c r="Z41" s="492">
        <f t="shared" si="16"/>
        <v>0</v>
      </c>
      <c r="AA41" s="562"/>
      <c r="AB41" s="562"/>
      <c r="AC41" s="562"/>
      <c r="AD41" s="562"/>
      <c r="AE41" s="562"/>
      <c r="AF41" s="492">
        <f t="shared" si="17"/>
        <v>0</v>
      </c>
      <c r="AG41" s="496"/>
      <c r="AH41" s="496"/>
      <c r="AI41" s="496"/>
      <c r="AJ41" s="496"/>
      <c r="AK41" s="496"/>
      <c r="AL41" s="492">
        <f t="shared" si="18"/>
        <v>0</v>
      </c>
      <c r="AM41" s="829"/>
      <c r="AN41" s="829"/>
      <c r="AO41" s="829"/>
      <c r="AP41" s="829"/>
      <c r="AQ41" s="829"/>
      <c r="AR41" s="492">
        <f t="shared" si="19"/>
        <v>0</v>
      </c>
      <c r="AS41" s="28">
        <f t="shared" ref="AS41:AS46" si="23">SUM(N41,H41,T41,Z41,AF41,AL41,AR41)</f>
        <v>625</v>
      </c>
      <c r="AT41" s="29">
        <f t="shared" ref="AT41:AT46" si="24">COUNT(C41:G41,I41:M41,O41:S41,U41:Y41,AA41:AE41,AG41:AK41,AM41:AQ41)</f>
        <v>5</v>
      </c>
      <c r="AU41" s="588">
        <f t="shared" ref="AU41:AU46" si="25">IF(AT41=0,"",AS41/AT41)</f>
        <v>125</v>
      </c>
    </row>
    <row r="42" spans="1:47" s="30" customFormat="1" ht="15">
      <c r="A42" s="461" t="s">
        <v>6</v>
      </c>
      <c r="B42" s="411" t="s">
        <v>242</v>
      </c>
      <c r="C42" s="35"/>
      <c r="D42" s="35"/>
      <c r="E42" s="35"/>
      <c r="F42" s="35"/>
      <c r="G42" s="35"/>
      <c r="H42" s="492">
        <f t="shared" si="13"/>
        <v>0</v>
      </c>
      <c r="I42" s="493"/>
      <c r="J42" s="493"/>
      <c r="K42" s="493"/>
      <c r="L42" s="493"/>
      <c r="M42" s="493"/>
      <c r="N42" s="492">
        <f t="shared" si="14"/>
        <v>0</v>
      </c>
      <c r="O42" s="494">
        <v>152</v>
      </c>
      <c r="P42" s="494">
        <v>228</v>
      </c>
      <c r="Q42" s="494">
        <v>196</v>
      </c>
      <c r="R42" s="494">
        <v>158</v>
      </c>
      <c r="S42" s="494">
        <v>112</v>
      </c>
      <c r="T42" s="492">
        <f t="shared" si="15"/>
        <v>846</v>
      </c>
      <c r="U42" s="502"/>
      <c r="V42" s="502"/>
      <c r="W42" s="502"/>
      <c r="X42" s="502"/>
      <c r="Y42" s="502"/>
      <c r="Z42" s="492">
        <f t="shared" si="16"/>
        <v>0</v>
      </c>
      <c r="AA42" s="562"/>
      <c r="AB42" s="562"/>
      <c r="AC42" s="562"/>
      <c r="AD42" s="562"/>
      <c r="AE42" s="562"/>
      <c r="AF42" s="492">
        <f t="shared" si="17"/>
        <v>0</v>
      </c>
      <c r="AG42" s="497"/>
      <c r="AH42" s="497"/>
      <c r="AI42" s="497"/>
      <c r="AJ42" s="497"/>
      <c r="AK42" s="497"/>
      <c r="AL42" s="492">
        <f t="shared" si="18"/>
        <v>0</v>
      </c>
      <c r="AM42" s="829"/>
      <c r="AN42" s="829"/>
      <c r="AO42" s="829"/>
      <c r="AP42" s="829"/>
      <c r="AQ42" s="829"/>
      <c r="AR42" s="492">
        <f t="shared" si="19"/>
        <v>0</v>
      </c>
      <c r="AS42" s="28">
        <f t="shared" si="23"/>
        <v>846</v>
      </c>
      <c r="AT42" s="29">
        <f t="shared" si="24"/>
        <v>5</v>
      </c>
      <c r="AU42" s="588">
        <f t="shared" si="25"/>
        <v>169.2</v>
      </c>
    </row>
    <row r="43" spans="1:47" s="30" customFormat="1" ht="15">
      <c r="A43" s="461" t="s">
        <v>6</v>
      </c>
      <c r="B43" s="411" t="s">
        <v>99</v>
      </c>
      <c r="C43" s="177">
        <v>115</v>
      </c>
      <c r="D43" s="177">
        <v>75</v>
      </c>
      <c r="E43" s="177">
        <v>105</v>
      </c>
      <c r="F43" s="177">
        <v>92</v>
      </c>
      <c r="G43" s="177">
        <v>86</v>
      </c>
      <c r="H43" s="492">
        <f t="shared" si="13"/>
        <v>473</v>
      </c>
      <c r="I43" s="493">
        <v>118</v>
      </c>
      <c r="J43" s="493">
        <v>116</v>
      </c>
      <c r="K43" s="493">
        <v>116</v>
      </c>
      <c r="L43" s="493">
        <v>141</v>
      </c>
      <c r="M43" s="493">
        <v>120</v>
      </c>
      <c r="N43" s="492">
        <f t="shared" si="14"/>
        <v>611</v>
      </c>
      <c r="O43" s="494">
        <v>97</v>
      </c>
      <c r="P43" s="494">
        <v>101</v>
      </c>
      <c r="Q43" s="494">
        <v>119</v>
      </c>
      <c r="R43" s="494">
        <v>128</v>
      </c>
      <c r="S43" s="494">
        <v>154</v>
      </c>
      <c r="T43" s="492">
        <f t="shared" si="15"/>
        <v>599</v>
      </c>
      <c r="U43" s="493">
        <v>144</v>
      </c>
      <c r="V43" s="493">
        <v>135</v>
      </c>
      <c r="W43" s="493">
        <v>136</v>
      </c>
      <c r="X43" s="493">
        <v>155</v>
      </c>
      <c r="Y43" s="493">
        <v>112</v>
      </c>
      <c r="Z43" s="492">
        <f t="shared" si="16"/>
        <v>682</v>
      </c>
      <c r="AA43" s="570">
        <v>138</v>
      </c>
      <c r="AB43" s="570">
        <v>124</v>
      </c>
      <c r="AC43" s="570">
        <v>143</v>
      </c>
      <c r="AD43" s="570">
        <v>135</v>
      </c>
      <c r="AE43" s="570">
        <v>136</v>
      </c>
      <c r="AF43" s="492">
        <f t="shared" si="17"/>
        <v>676</v>
      </c>
      <c r="AG43" s="655">
        <v>151</v>
      </c>
      <c r="AH43" s="655">
        <v>128</v>
      </c>
      <c r="AI43" s="655">
        <v>126</v>
      </c>
      <c r="AJ43" s="655">
        <v>107</v>
      </c>
      <c r="AK43" s="655">
        <v>115</v>
      </c>
      <c r="AL43" s="492">
        <f t="shared" si="18"/>
        <v>627</v>
      </c>
      <c r="AM43" s="45">
        <v>133</v>
      </c>
      <c r="AN43" s="45">
        <v>100</v>
      </c>
      <c r="AO43" s="45">
        <v>99</v>
      </c>
      <c r="AP43" s="45">
        <v>135</v>
      </c>
      <c r="AQ43" s="45">
        <v>148</v>
      </c>
      <c r="AR43" s="492">
        <f t="shared" si="19"/>
        <v>615</v>
      </c>
      <c r="AS43" s="28">
        <f t="shared" si="23"/>
        <v>4283</v>
      </c>
      <c r="AT43" s="29">
        <f t="shared" si="24"/>
        <v>35</v>
      </c>
      <c r="AU43" s="588">
        <f t="shared" si="25"/>
        <v>122.37142857142857</v>
      </c>
    </row>
    <row r="44" spans="1:47" s="30" customFormat="1" ht="15">
      <c r="A44" s="461" t="s">
        <v>6</v>
      </c>
      <c r="B44" s="411" t="s">
        <v>82</v>
      </c>
      <c r="C44" s="177">
        <v>127</v>
      </c>
      <c r="D44" s="177">
        <v>158</v>
      </c>
      <c r="E44" s="177">
        <v>144</v>
      </c>
      <c r="F44" s="177">
        <v>217</v>
      </c>
      <c r="G44" s="177">
        <v>150</v>
      </c>
      <c r="H44" s="492">
        <f t="shared" si="13"/>
        <v>796</v>
      </c>
      <c r="I44" s="493">
        <v>145</v>
      </c>
      <c r="J44" s="493">
        <v>176</v>
      </c>
      <c r="K44" s="493">
        <v>138</v>
      </c>
      <c r="L44" s="493">
        <v>173</v>
      </c>
      <c r="M44" s="493">
        <v>183</v>
      </c>
      <c r="N44" s="492">
        <f t="shared" si="14"/>
        <v>815</v>
      </c>
      <c r="O44" s="494">
        <v>166</v>
      </c>
      <c r="P44" s="494">
        <v>197</v>
      </c>
      <c r="Q44" s="494">
        <v>159</v>
      </c>
      <c r="R44" s="494">
        <v>168</v>
      </c>
      <c r="S44" s="494">
        <v>205</v>
      </c>
      <c r="T44" s="492">
        <f t="shared" si="15"/>
        <v>895</v>
      </c>
      <c r="U44" s="493">
        <v>118</v>
      </c>
      <c r="V44" s="493">
        <v>139</v>
      </c>
      <c r="W44" s="493">
        <v>133</v>
      </c>
      <c r="X44" s="493">
        <v>147</v>
      </c>
      <c r="Y44" s="493">
        <v>127</v>
      </c>
      <c r="Z44" s="492">
        <f t="shared" si="16"/>
        <v>664</v>
      </c>
      <c r="AA44" s="570">
        <v>166</v>
      </c>
      <c r="AB44" s="570">
        <v>154</v>
      </c>
      <c r="AC44" s="570">
        <v>194</v>
      </c>
      <c r="AD44" s="570">
        <v>176</v>
      </c>
      <c r="AE44" s="570">
        <v>168</v>
      </c>
      <c r="AF44" s="492">
        <f t="shared" si="17"/>
        <v>858</v>
      </c>
      <c r="AG44" s="655">
        <v>187</v>
      </c>
      <c r="AH44" s="655">
        <v>163</v>
      </c>
      <c r="AI44" s="655">
        <v>145</v>
      </c>
      <c r="AJ44" s="655">
        <v>175</v>
      </c>
      <c r="AK44" s="655">
        <v>193</v>
      </c>
      <c r="AL44" s="492">
        <f t="shared" si="18"/>
        <v>863</v>
      </c>
      <c r="AM44" s="45">
        <v>200</v>
      </c>
      <c r="AN44" s="45">
        <v>138</v>
      </c>
      <c r="AO44" s="45">
        <v>144</v>
      </c>
      <c r="AP44" s="45">
        <v>163</v>
      </c>
      <c r="AQ44" s="45">
        <v>164</v>
      </c>
      <c r="AR44" s="492">
        <f t="shared" si="19"/>
        <v>809</v>
      </c>
      <c r="AS44" s="28">
        <f t="shared" si="23"/>
        <v>5700</v>
      </c>
      <c r="AT44" s="29">
        <f t="shared" si="24"/>
        <v>35</v>
      </c>
      <c r="AU44" s="588">
        <f t="shared" si="25"/>
        <v>162.85714285714286</v>
      </c>
    </row>
    <row r="45" spans="1:47" s="30" customFormat="1" ht="15">
      <c r="A45" s="461" t="s">
        <v>6</v>
      </c>
      <c r="B45" s="411" t="s">
        <v>81</v>
      </c>
      <c r="C45" s="177">
        <v>141</v>
      </c>
      <c r="D45" s="177">
        <v>155</v>
      </c>
      <c r="E45" s="177">
        <v>140</v>
      </c>
      <c r="F45" s="177">
        <v>139</v>
      </c>
      <c r="G45" s="177">
        <v>143</v>
      </c>
      <c r="H45" s="492">
        <f t="shared" si="13"/>
        <v>718</v>
      </c>
      <c r="I45" s="493">
        <v>121</v>
      </c>
      <c r="J45" s="493">
        <v>152</v>
      </c>
      <c r="K45" s="493">
        <v>148</v>
      </c>
      <c r="L45" s="493">
        <v>121</v>
      </c>
      <c r="M45" s="493">
        <v>144</v>
      </c>
      <c r="N45" s="492">
        <f t="shared" si="14"/>
        <v>686</v>
      </c>
      <c r="O45" s="494">
        <v>121</v>
      </c>
      <c r="P45" s="494">
        <v>167</v>
      </c>
      <c r="Q45" s="494">
        <v>117</v>
      </c>
      <c r="R45" s="494">
        <v>149</v>
      </c>
      <c r="S45" s="494">
        <v>130</v>
      </c>
      <c r="T45" s="492">
        <f t="shared" si="15"/>
        <v>684</v>
      </c>
      <c r="U45" s="493">
        <v>137</v>
      </c>
      <c r="V45" s="493">
        <v>152</v>
      </c>
      <c r="W45" s="493">
        <v>137</v>
      </c>
      <c r="X45" s="493">
        <v>125</v>
      </c>
      <c r="Y45" s="493">
        <v>137</v>
      </c>
      <c r="Z45" s="492">
        <f t="shared" si="16"/>
        <v>688</v>
      </c>
      <c r="AA45" s="570">
        <v>150</v>
      </c>
      <c r="AB45" s="570">
        <v>128</v>
      </c>
      <c r="AC45" s="570">
        <v>135</v>
      </c>
      <c r="AD45" s="570">
        <v>161</v>
      </c>
      <c r="AE45" s="570">
        <v>143</v>
      </c>
      <c r="AF45" s="492">
        <f t="shared" si="17"/>
        <v>717</v>
      </c>
      <c r="AG45" s="655">
        <v>121</v>
      </c>
      <c r="AH45" s="655">
        <v>127</v>
      </c>
      <c r="AI45" s="655">
        <v>138</v>
      </c>
      <c r="AJ45" s="655">
        <v>155</v>
      </c>
      <c r="AK45" s="655">
        <v>144</v>
      </c>
      <c r="AL45" s="492">
        <f t="shared" si="18"/>
        <v>685</v>
      </c>
      <c r="AM45" s="45">
        <v>124</v>
      </c>
      <c r="AN45" s="45">
        <v>101</v>
      </c>
      <c r="AO45" s="45">
        <v>172</v>
      </c>
      <c r="AP45" s="45">
        <v>164</v>
      </c>
      <c r="AQ45" s="45">
        <v>114</v>
      </c>
      <c r="AR45" s="492">
        <f t="shared" si="19"/>
        <v>675</v>
      </c>
      <c r="AS45" s="28">
        <f t="shared" si="23"/>
        <v>4853</v>
      </c>
      <c r="AT45" s="29">
        <f t="shared" si="24"/>
        <v>35</v>
      </c>
      <c r="AU45" s="588">
        <f t="shared" si="25"/>
        <v>138.65714285714284</v>
      </c>
    </row>
    <row r="46" spans="1:47" s="30" customFormat="1" ht="15">
      <c r="A46" s="461" t="s">
        <v>6</v>
      </c>
      <c r="B46" s="411" t="s">
        <v>291</v>
      </c>
      <c r="C46" s="177"/>
      <c r="D46" s="177"/>
      <c r="E46" s="177"/>
      <c r="F46" s="177"/>
      <c r="G46" s="177"/>
      <c r="H46" s="492"/>
      <c r="I46" s="493"/>
      <c r="J46" s="493"/>
      <c r="K46" s="493"/>
      <c r="L46" s="493"/>
      <c r="M46" s="493"/>
      <c r="N46" s="492"/>
      <c r="O46" s="494"/>
      <c r="P46" s="494"/>
      <c r="Q46" s="494"/>
      <c r="R46" s="494"/>
      <c r="S46" s="494"/>
      <c r="T46" s="492"/>
      <c r="U46" s="493"/>
      <c r="V46" s="493"/>
      <c r="W46" s="493"/>
      <c r="X46" s="493"/>
      <c r="Y46" s="493"/>
      <c r="Z46" s="492"/>
      <c r="AA46" s="570">
        <v>99</v>
      </c>
      <c r="AB46" s="570">
        <v>119</v>
      </c>
      <c r="AC46" s="570">
        <v>109</v>
      </c>
      <c r="AD46" s="570">
        <v>116</v>
      </c>
      <c r="AE46" s="570">
        <v>114</v>
      </c>
      <c r="AF46" s="492">
        <f t="shared" si="17"/>
        <v>557</v>
      </c>
      <c r="AG46" s="655">
        <v>149</v>
      </c>
      <c r="AH46" s="655">
        <v>126</v>
      </c>
      <c r="AI46" s="655">
        <v>131</v>
      </c>
      <c r="AJ46" s="655">
        <v>80</v>
      </c>
      <c r="AK46" s="655">
        <v>141</v>
      </c>
      <c r="AL46" s="492">
        <f t="shared" si="18"/>
        <v>627</v>
      </c>
      <c r="AM46" s="497"/>
      <c r="AN46" s="497"/>
      <c r="AO46" s="497"/>
      <c r="AP46" s="497"/>
      <c r="AQ46" s="497"/>
      <c r="AR46" s="492">
        <f t="shared" si="19"/>
        <v>0</v>
      </c>
      <c r="AS46" s="28">
        <f t="shared" si="23"/>
        <v>1184</v>
      </c>
      <c r="AT46" s="29">
        <f t="shared" si="24"/>
        <v>10</v>
      </c>
      <c r="AU46" s="588">
        <f t="shared" si="25"/>
        <v>118.4</v>
      </c>
    </row>
    <row r="47" spans="1:47" s="30" customFormat="1" ht="15">
      <c r="A47" s="462"/>
      <c r="B47" s="412"/>
      <c r="C47" s="35"/>
      <c r="D47" s="35"/>
      <c r="E47" s="35"/>
      <c r="F47" s="35"/>
      <c r="G47" s="35"/>
      <c r="H47" s="492"/>
      <c r="I47" s="495"/>
      <c r="J47" s="495"/>
      <c r="K47" s="495"/>
      <c r="L47" s="495"/>
      <c r="M47" s="495"/>
      <c r="N47" s="509"/>
      <c r="O47" s="497"/>
      <c r="P47" s="497"/>
      <c r="Q47" s="497"/>
      <c r="R47" s="497"/>
      <c r="S47" s="497"/>
      <c r="T47" s="509"/>
      <c r="U47" s="501"/>
      <c r="V47" s="501"/>
      <c r="W47" s="501"/>
      <c r="X47" s="501"/>
      <c r="Y47" s="501"/>
      <c r="Z47" s="509"/>
      <c r="AA47" s="501"/>
      <c r="AB47" s="501"/>
      <c r="AC47" s="501"/>
      <c r="AD47" s="501"/>
      <c r="AE47" s="501"/>
      <c r="AF47" s="509"/>
      <c r="AG47" s="497"/>
      <c r="AH47" s="497"/>
      <c r="AI47" s="497"/>
      <c r="AJ47" s="497"/>
      <c r="AK47" s="497"/>
      <c r="AL47" s="509"/>
      <c r="AM47" s="497"/>
      <c r="AN47" s="497"/>
      <c r="AO47" s="497"/>
      <c r="AP47" s="497"/>
      <c r="AQ47" s="497"/>
      <c r="AR47" s="509"/>
      <c r="AS47" s="28"/>
      <c r="AT47" s="29"/>
      <c r="AU47" s="588"/>
    </row>
    <row r="48" spans="1:47" s="30" customFormat="1" ht="15.75" thickBot="1">
      <c r="A48" s="463"/>
      <c r="B48" s="464"/>
      <c r="C48" s="439"/>
      <c r="D48" s="439"/>
      <c r="E48" s="439"/>
      <c r="F48" s="439"/>
      <c r="G48" s="439"/>
      <c r="H48" s="440"/>
      <c r="I48" s="439"/>
      <c r="J48" s="439"/>
      <c r="K48" s="439"/>
      <c r="L48" s="439"/>
      <c r="M48" s="439"/>
      <c r="N48" s="441"/>
      <c r="O48" s="441"/>
      <c r="P48" s="441"/>
      <c r="Q48" s="441"/>
      <c r="R48" s="441"/>
      <c r="S48" s="441"/>
      <c r="T48" s="441"/>
      <c r="U48" s="442"/>
      <c r="V48" s="442"/>
      <c r="W48" s="442"/>
      <c r="X48" s="442"/>
      <c r="Y48" s="442"/>
      <c r="Z48" s="441"/>
      <c r="AA48" s="442"/>
      <c r="AB48" s="442"/>
      <c r="AC48" s="442"/>
      <c r="AD48" s="442"/>
      <c r="AE48" s="442"/>
      <c r="AF48" s="441"/>
      <c r="AG48" s="441"/>
      <c r="AH48" s="441"/>
      <c r="AI48" s="441"/>
      <c r="AJ48" s="441"/>
      <c r="AK48" s="441"/>
      <c r="AL48" s="441"/>
      <c r="AM48" s="441"/>
      <c r="AN48" s="441"/>
      <c r="AO48" s="441"/>
      <c r="AP48" s="441"/>
      <c r="AQ48" s="441"/>
      <c r="AR48" s="441"/>
      <c r="AS48" s="441">
        <f>SUM(AS33:AS47)</f>
        <v>50111</v>
      </c>
      <c r="AT48" s="441">
        <f>SUM(AT33:AT47)</f>
        <v>350</v>
      </c>
      <c r="AU48" s="443">
        <f>IF(AT48=0,"",AS48/AT48)</f>
        <v>143.1742857142857</v>
      </c>
    </row>
    <row r="49" spans="1:47" s="30" customFormat="1" ht="15.75" thickBot="1">
      <c r="A49" s="465"/>
      <c r="B49" s="466"/>
      <c r="C49" s="446"/>
      <c r="D49" s="446"/>
      <c r="E49" s="446"/>
      <c r="F49" s="446"/>
      <c r="G49" s="446"/>
      <c r="H49" s="447"/>
      <c r="I49" s="446"/>
      <c r="J49" s="446"/>
      <c r="K49" s="446"/>
      <c r="L49" s="446"/>
      <c r="M49" s="446"/>
      <c r="N49" s="447"/>
      <c r="O49" s="447"/>
      <c r="P49" s="447"/>
      <c r="Q49" s="447"/>
      <c r="R49" s="447"/>
      <c r="S49" s="447"/>
      <c r="T49" s="447"/>
      <c r="U49" s="448"/>
      <c r="V49" s="448"/>
      <c r="W49" s="448"/>
      <c r="X49" s="448"/>
      <c r="Y49" s="448"/>
      <c r="Z49" s="447"/>
      <c r="AA49" s="448"/>
      <c r="AB49" s="448"/>
      <c r="AC49" s="448"/>
      <c r="AD49" s="448"/>
      <c r="AE49" s="448"/>
      <c r="AF49" s="447"/>
      <c r="AG49" s="447"/>
      <c r="AH49" s="447"/>
      <c r="AI49" s="447"/>
      <c r="AJ49" s="447"/>
      <c r="AK49" s="447"/>
      <c r="AL49" s="447"/>
      <c r="AM49" s="447"/>
      <c r="AN49" s="447"/>
      <c r="AO49" s="447"/>
      <c r="AP49" s="447"/>
      <c r="AQ49" s="447"/>
      <c r="AR49" s="447"/>
      <c r="AS49" s="447"/>
      <c r="AT49" s="447"/>
      <c r="AU49" s="449"/>
    </row>
    <row r="50" spans="1:47" s="30" customFormat="1" ht="15">
      <c r="A50" s="467" t="s">
        <v>4</v>
      </c>
      <c r="B50" s="468" t="s">
        <v>28</v>
      </c>
      <c r="C50" s="452">
        <v>136</v>
      </c>
      <c r="D50" s="452">
        <v>142</v>
      </c>
      <c r="E50" s="452">
        <v>143</v>
      </c>
      <c r="F50" s="452">
        <v>156</v>
      </c>
      <c r="G50" s="452">
        <v>114</v>
      </c>
      <c r="H50" s="489">
        <f t="shared" ref="H50:H67" si="26">SUM(C50+D50+E50+F50+G50)</f>
        <v>691</v>
      </c>
      <c r="I50" s="490">
        <v>122</v>
      </c>
      <c r="J50" s="490">
        <v>105</v>
      </c>
      <c r="K50" s="490">
        <v>175</v>
      </c>
      <c r="L50" s="490">
        <v>111</v>
      </c>
      <c r="M50" s="490">
        <v>125</v>
      </c>
      <c r="N50" s="489">
        <f t="shared" ref="N50:N65" si="27">SUM(I50+J50+K50+L50+M50)</f>
        <v>638</v>
      </c>
      <c r="O50" s="510"/>
      <c r="P50" s="510"/>
      <c r="Q50" s="510"/>
      <c r="R50" s="510"/>
      <c r="S50" s="510"/>
      <c r="T50" s="489">
        <f t="shared" ref="T50:T65" si="28">SUM(O50+P50+Q50+R50+S50)</f>
        <v>0</v>
      </c>
      <c r="U50" s="490"/>
      <c r="V50" s="511"/>
      <c r="W50" s="511"/>
      <c r="X50" s="511"/>
      <c r="Y50" s="511"/>
      <c r="Z50" s="489">
        <f t="shared" ref="Z50:Z65" si="29">SUM(U50+V50+W50+X50+Y50)</f>
        <v>0</v>
      </c>
      <c r="AA50" s="587">
        <v>152</v>
      </c>
      <c r="AB50" s="587">
        <v>132</v>
      </c>
      <c r="AC50" s="587">
        <v>192</v>
      </c>
      <c r="AD50" s="587">
        <v>153</v>
      </c>
      <c r="AE50" s="587">
        <v>128</v>
      </c>
      <c r="AF50" s="489">
        <f t="shared" ref="AF50:AF65" si="30">SUM(AA50+AB50+AC50+AD50+AE50)</f>
        <v>757</v>
      </c>
      <c r="AG50" s="653">
        <v>156</v>
      </c>
      <c r="AH50" s="653">
        <v>177</v>
      </c>
      <c r="AI50" s="653">
        <v>120</v>
      </c>
      <c r="AJ50" s="653">
        <v>127</v>
      </c>
      <c r="AK50" s="653">
        <v>121</v>
      </c>
      <c r="AL50" s="489">
        <f t="shared" ref="AL50:AL65" si="31">SUM(AG50+AH50+AI50+AJ50+AK50)</f>
        <v>701</v>
      </c>
      <c r="AM50" s="830">
        <v>181</v>
      </c>
      <c r="AN50" s="830">
        <v>128</v>
      </c>
      <c r="AO50" s="830">
        <v>139</v>
      </c>
      <c r="AP50" s="830">
        <v>158</v>
      </c>
      <c r="AQ50" s="830">
        <v>136</v>
      </c>
      <c r="AR50" s="489">
        <f t="shared" ref="AR50:AR65" si="32">SUM(AM50+AN50+AO50+AP50+AQ50)</f>
        <v>742</v>
      </c>
      <c r="AS50" s="453">
        <f t="shared" ref="AS50:AS55" si="33">SUM(N50,H50,T50,Z50,AF50,AL50,AR50)</f>
        <v>3529</v>
      </c>
      <c r="AT50" s="454">
        <f t="shared" ref="AT50:AT55" si="34">COUNT(C50:G50,I50:M50,O50:S50,U50:Y50,AA50:AE50,AG50:AK50,AM50:AQ50)</f>
        <v>25</v>
      </c>
      <c r="AU50" s="589">
        <f t="shared" ref="AU50:AU57" si="35">IF(AT50=0,"",AS50/AT50)</f>
        <v>141.16</v>
      </c>
    </row>
    <row r="51" spans="1:47" s="30" customFormat="1" ht="15">
      <c r="A51" s="469" t="s">
        <v>4</v>
      </c>
      <c r="B51" s="413" t="s">
        <v>296</v>
      </c>
      <c r="C51" s="35"/>
      <c r="D51" s="35"/>
      <c r="E51" s="35"/>
      <c r="F51" s="35"/>
      <c r="G51" s="35"/>
      <c r="H51" s="492">
        <f t="shared" si="26"/>
        <v>0</v>
      </c>
      <c r="I51" s="496"/>
      <c r="J51" s="496"/>
      <c r="K51" s="496"/>
      <c r="L51" s="496"/>
      <c r="M51" s="496"/>
      <c r="N51" s="492">
        <f t="shared" si="27"/>
        <v>0</v>
      </c>
      <c r="O51" s="498"/>
      <c r="P51" s="498"/>
      <c r="Q51" s="498"/>
      <c r="R51" s="498"/>
      <c r="S51" s="498"/>
      <c r="T51" s="492">
        <f t="shared" si="28"/>
        <v>0</v>
      </c>
      <c r="U51" s="493"/>
      <c r="V51" s="501"/>
      <c r="W51" s="493"/>
      <c r="X51" s="493"/>
      <c r="Y51" s="493"/>
      <c r="Z51" s="492">
        <f t="shared" si="29"/>
        <v>0</v>
      </c>
      <c r="AA51" s="562"/>
      <c r="AB51" s="562"/>
      <c r="AC51" s="562"/>
      <c r="AD51" s="562"/>
      <c r="AE51" s="562"/>
      <c r="AF51" s="492">
        <f t="shared" si="30"/>
        <v>0</v>
      </c>
      <c r="AG51" s="497"/>
      <c r="AH51" s="497"/>
      <c r="AI51" s="497"/>
      <c r="AJ51" s="497"/>
      <c r="AK51" s="497"/>
      <c r="AL51" s="492">
        <f t="shared" si="31"/>
        <v>0</v>
      </c>
      <c r="AM51" s="45">
        <v>113</v>
      </c>
      <c r="AN51" s="45">
        <v>109</v>
      </c>
      <c r="AO51" s="45">
        <v>163</v>
      </c>
      <c r="AP51" s="45">
        <v>98</v>
      </c>
      <c r="AQ51" s="45">
        <v>95</v>
      </c>
      <c r="AR51" s="492">
        <f t="shared" si="32"/>
        <v>578</v>
      </c>
      <c r="AS51" s="28">
        <f t="shared" si="33"/>
        <v>578</v>
      </c>
      <c r="AT51" s="29">
        <f t="shared" si="34"/>
        <v>5</v>
      </c>
      <c r="AU51" s="588">
        <f t="shared" si="35"/>
        <v>115.6</v>
      </c>
    </row>
    <row r="52" spans="1:47" s="30" customFormat="1" ht="15">
      <c r="A52" s="469" t="s">
        <v>4</v>
      </c>
      <c r="B52" s="413" t="s">
        <v>30</v>
      </c>
      <c r="C52" s="177">
        <v>140</v>
      </c>
      <c r="D52" s="177">
        <v>115</v>
      </c>
      <c r="E52" s="177">
        <v>116</v>
      </c>
      <c r="F52" s="177">
        <v>107</v>
      </c>
      <c r="G52" s="177">
        <v>112</v>
      </c>
      <c r="H52" s="492">
        <f t="shared" si="26"/>
        <v>590</v>
      </c>
      <c r="I52" s="493">
        <v>123</v>
      </c>
      <c r="J52" s="493">
        <v>123</v>
      </c>
      <c r="K52" s="493">
        <v>135</v>
      </c>
      <c r="L52" s="493">
        <v>141</v>
      </c>
      <c r="M52" s="493">
        <v>114</v>
      </c>
      <c r="N52" s="492">
        <f t="shared" si="27"/>
        <v>636</v>
      </c>
      <c r="O52" s="494">
        <v>136</v>
      </c>
      <c r="P52" s="494">
        <v>140</v>
      </c>
      <c r="Q52" s="494">
        <v>123</v>
      </c>
      <c r="R52" s="494">
        <v>135</v>
      </c>
      <c r="S52" s="494">
        <v>147</v>
      </c>
      <c r="T52" s="492">
        <f t="shared" si="28"/>
        <v>681</v>
      </c>
      <c r="U52" s="493">
        <v>91</v>
      </c>
      <c r="V52" s="493">
        <v>121</v>
      </c>
      <c r="W52" s="493">
        <v>130</v>
      </c>
      <c r="X52" s="493">
        <v>129</v>
      </c>
      <c r="Y52" s="493">
        <v>123</v>
      </c>
      <c r="Z52" s="492">
        <f t="shared" si="29"/>
        <v>594</v>
      </c>
      <c r="AA52" s="570">
        <v>91</v>
      </c>
      <c r="AB52" s="570">
        <v>129</v>
      </c>
      <c r="AC52" s="570">
        <v>139</v>
      </c>
      <c r="AD52" s="570">
        <v>126</v>
      </c>
      <c r="AE52" s="570">
        <v>121</v>
      </c>
      <c r="AF52" s="492">
        <f t="shared" si="30"/>
        <v>606</v>
      </c>
      <c r="AG52" s="496"/>
      <c r="AH52" s="496"/>
      <c r="AI52" s="496"/>
      <c r="AJ52" s="496"/>
      <c r="AK52" s="496"/>
      <c r="AL52" s="492">
        <f t="shared" si="31"/>
        <v>0</v>
      </c>
      <c r="AM52" s="829"/>
      <c r="AN52" s="829"/>
      <c r="AO52" s="829"/>
      <c r="AP52" s="829"/>
      <c r="AQ52" s="829"/>
      <c r="AR52" s="492">
        <f t="shared" si="32"/>
        <v>0</v>
      </c>
      <c r="AS52" s="28">
        <f t="shared" si="33"/>
        <v>3107</v>
      </c>
      <c r="AT52" s="29">
        <f t="shared" si="34"/>
        <v>25</v>
      </c>
      <c r="AU52" s="588">
        <f t="shared" si="35"/>
        <v>124.28</v>
      </c>
    </row>
    <row r="53" spans="1:47" s="30" customFormat="1" ht="15">
      <c r="A53" s="469" t="s">
        <v>4</v>
      </c>
      <c r="B53" s="413" t="s">
        <v>66</v>
      </c>
      <c r="C53" s="177">
        <v>178</v>
      </c>
      <c r="D53" s="177">
        <v>170</v>
      </c>
      <c r="E53" s="177">
        <v>148</v>
      </c>
      <c r="F53" s="177">
        <v>175</v>
      </c>
      <c r="G53" s="177">
        <v>189</v>
      </c>
      <c r="H53" s="492">
        <f t="shared" si="26"/>
        <v>860</v>
      </c>
      <c r="I53" s="493">
        <v>164</v>
      </c>
      <c r="J53" s="493">
        <v>179</v>
      </c>
      <c r="K53" s="493">
        <v>180</v>
      </c>
      <c r="L53" s="493">
        <v>147</v>
      </c>
      <c r="M53" s="493">
        <v>163</v>
      </c>
      <c r="N53" s="492">
        <f t="shared" si="27"/>
        <v>833</v>
      </c>
      <c r="O53" s="494">
        <v>144</v>
      </c>
      <c r="P53" s="494">
        <v>141</v>
      </c>
      <c r="Q53" s="494">
        <v>178</v>
      </c>
      <c r="R53" s="494">
        <v>185</v>
      </c>
      <c r="S53" s="494">
        <v>145</v>
      </c>
      <c r="T53" s="492">
        <f t="shared" si="28"/>
        <v>793</v>
      </c>
      <c r="U53" s="493"/>
      <c r="V53" s="501"/>
      <c r="W53" s="501"/>
      <c r="X53" s="501"/>
      <c r="Y53" s="501"/>
      <c r="Z53" s="492">
        <f t="shared" si="29"/>
        <v>0</v>
      </c>
      <c r="AA53" s="571"/>
      <c r="AB53" s="571"/>
      <c r="AC53" s="571"/>
      <c r="AD53" s="571"/>
      <c r="AE53" s="571"/>
      <c r="AF53" s="492">
        <f t="shared" si="30"/>
        <v>0</v>
      </c>
      <c r="AG53" s="655">
        <v>188</v>
      </c>
      <c r="AH53" s="655">
        <v>162</v>
      </c>
      <c r="AI53" s="655">
        <v>160</v>
      </c>
      <c r="AJ53" s="655">
        <v>138</v>
      </c>
      <c r="AK53" s="655">
        <v>166</v>
      </c>
      <c r="AL53" s="492">
        <f t="shared" si="31"/>
        <v>814</v>
      </c>
      <c r="AM53" s="45">
        <v>194</v>
      </c>
      <c r="AN53" s="45">
        <v>154</v>
      </c>
      <c r="AO53" s="45">
        <v>178</v>
      </c>
      <c r="AP53" s="45">
        <v>159</v>
      </c>
      <c r="AQ53" s="45">
        <v>203</v>
      </c>
      <c r="AR53" s="492">
        <f t="shared" si="32"/>
        <v>888</v>
      </c>
      <c r="AS53" s="28">
        <f t="shared" si="33"/>
        <v>4188</v>
      </c>
      <c r="AT53" s="29">
        <f t="shared" si="34"/>
        <v>25</v>
      </c>
      <c r="AU53" s="588">
        <f t="shared" si="35"/>
        <v>167.52</v>
      </c>
    </row>
    <row r="54" spans="1:47" s="30" customFormat="1" ht="15">
      <c r="A54" s="469" t="s">
        <v>4</v>
      </c>
      <c r="B54" s="413" t="s">
        <v>31</v>
      </c>
      <c r="C54" s="177">
        <v>119</v>
      </c>
      <c r="D54" s="177">
        <v>125</v>
      </c>
      <c r="E54" s="177">
        <v>157</v>
      </c>
      <c r="F54" s="177">
        <v>145</v>
      </c>
      <c r="G54" s="177">
        <v>115</v>
      </c>
      <c r="H54" s="492">
        <f t="shared" si="26"/>
        <v>661</v>
      </c>
      <c r="I54" s="493"/>
      <c r="J54" s="493"/>
      <c r="K54" s="493"/>
      <c r="L54" s="493"/>
      <c r="M54" s="493"/>
      <c r="N54" s="492">
        <f t="shared" si="27"/>
        <v>0</v>
      </c>
      <c r="O54" s="493"/>
      <c r="P54" s="493"/>
      <c r="Q54" s="493"/>
      <c r="R54" s="493"/>
      <c r="S54" s="493"/>
      <c r="T54" s="492">
        <f t="shared" si="28"/>
        <v>0</v>
      </c>
      <c r="U54" s="493"/>
      <c r="V54" s="501"/>
      <c r="W54" s="501"/>
      <c r="X54" s="501"/>
      <c r="Y54" s="501"/>
      <c r="Z54" s="492">
        <f t="shared" si="29"/>
        <v>0</v>
      </c>
      <c r="AA54" s="562"/>
      <c r="AB54" s="562"/>
      <c r="AC54" s="562"/>
      <c r="AD54" s="562"/>
      <c r="AE54" s="562"/>
      <c r="AF54" s="492">
        <f t="shared" si="30"/>
        <v>0</v>
      </c>
      <c r="AG54" s="655">
        <v>92</v>
      </c>
      <c r="AH54" s="655">
        <v>124</v>
      </c>
      <c r="AI54" s="655">
        <v>133</v>
      </c>
      <c r="AJ54" s="655">
        <v>210</v>
      </c>
      <c r="AK54" s="655">
        <v>136</v>
      </c>
      <c r="AL54" s="492">
        <f t="shared" si="31"/>
        <v>695</v>
      </c>
      <c r="AM54" s="45">
        <v>137</v>
      </c>
      <c r="AN54" s="45">
        <v>108</v>
      </c>
      <c r="AO54" s="45">
        <v>176</v>
      </c>
      <c r="AP54" s="45">
        <v>147</v>
      </c>
      <c r="AQ54" s="45">
        <v>129</v>
      </c>
      <c r="AR54" s="492">
        <f t="shared" si="32"/>
        <v>697</v>
      </c>
      <c r="AS54" s="28">
        <f t="shared" si="33"/>
        <v>2053</v>
      </c>
      <c r="AT54" s="29">
        <f t="shared" si="34"/>
        <v>15</v>
      </c>
      <c r="AU54" s="588">
        <f t="shared" si="35"/>
        <v>136.86666666666667</v>
      </c>
    </row>
    <row r="55" spans="1:47" s="30" customFormat="1" ht="15">
      <c r="A55" s="469" t="s">
        <v>4</v>
      </c>
      <c r="B55" s="414" t="s">
        <v>29</v>
      </c>
      <c r="C55" s="177">
        <v>86</v>
      </c>
      <c r="D55" s="177">
        <v>98</v>
      </c>
      <c r="E55" s="177">
        <v>101</v>
      </c>
      <c r="F55" s="177">
        <v>105</v>
      </c>
      <c r="G55" s="177">
        <v>140</v>
      </c>
      <c r="H55" s="492">
        <f t="shared" si="26"/>
        <v>530</v>
      </c>
      <c r="I55" s="493">
        <v>109</v>
      </c>
      <c r="J55" s="493">
        <v>119</v>
      </c>
      <c r="K55" s="493">
        <v>123</v>
      </c>
      <c r="L55" s="493">
        <v>112</v>
      </c>
      <c r="M55" s="493">
        <v>100</v>
      </c>
      <c r="N55" s="492">
        <f t="shared" si="27"/>
        <v>563</v>
      </c>
      <c r="O55" s="498"/>
      <c r="P55" s="498"/>
      <c r="Q55" s="498"/>
      <c r="R55" s="498"/>
      <c r="S55" s="498"/>
      <c r="T55" s="492">
        <f t="shared" si="28"/>
        <v>0</v>
      </c>
      <c r="U55" s="493">
        <v>97</v>
      </c>
      <c r="V55" s="493">
        <v>102</v>
      </c>
      <c r="W55" s="493">
        <v>123</v>
      </c>
      <c r="X55" s="493">
        <v>114</v>
      </c>
      <c r="Y55" s="493">
        <v>99</v>
      </c>
      <c r="Z55" s="492">
        <f t="shared" si="29"/>
        <v>535</v>
      </c>
      <c r="AA55" s="571"/>
      <c r="AB55" s="571"/>
      <c r="AC55" s="571"/>
      <c r="AD55" s="571"/>
      <c r="AE55" s="571"/>
      <c r="AF55" s="492">
        <f t="shared" si="30"/>
        <v>0</v>
      </c>
      <c r="AG55" s="655">
        <v>123</v>
      </c>
      <c r="AH55" s="655">
        <v>119</v>
      </c>
      <c r="AI55" s="655">
        <v>124</v>
      </c>
      <c r="AJ55" s="655">
        <v>147</v>
      </c>
      <c r="AK55" s="655">
        <v>102</v>
      </c>
      <c r="AL55" s="492">
        <f t="shared" si="31"/>
        <v>615</v>
      </c>
      <c r="AM55" s="45">
        <v>119</v>
      </c>
      <c r="AN55" s="45">
        <v>128</v>
      </c>
      <c r="AO55" s="45">
        <v>111</v>
      </c>
      <c r="AP55" s="45">
        <v>92</v>
      </c>
      <c r="AQ55" s="45">
        <v>94</v>
      </c>
      <c r="AR55" s="492">
        <f t="shared" si="32"/>
        <v>544</v>
      </c>
      <c r="AS55" s="28">
        <f t="shared" si="33"/>
        <v>2787</v>
      </c>
      <c r="AT55" s="29">
        <f t="shared" si="34"/>
        <v>25</v>
      </c>
      <c r="AU55" s="588">
        <f t="shared" si="35"/>
        <v>111.48</v>
      </c>
    </row>
    <row r="56" spans="1:47" s="30" customFormat="1" ht="15" customHeight="1">
      <c r="A56" s="469" t="s">
        <v>4</v>
      </c>
      <c r="B56" s="415" t="s">
        <v>68</v>
      </c>
      <c r="C56" s="177">
        <v>159</v>
      </c>
      <c r="D56" s="177">
        <v>144</v>
      </c>
      <c r="E56" s="177">
        <v>192</v>
      </c>
      <c r="F56" s="177">
        <v>162</v>
      </c>
      <c r="G56" s="177">
        <v>157</v>
      </c>
      <c r="H56" s="492">
        <f t="shared" si="26"/>
        <v>814</v>
      </c>
      <c r="I56" s="493">
        <v>166</v>
      </c>
      <c r="J56" s="493">
        <v>144</v>
      </c>
      <c r="K56" s="493">
        <v>148</v>
      </c>
      <c r="L56" s="493">
        <v>168</v>
      </c>
      <c r="M56" s="493">
        <v>205</v>
      </c>
      <c r="N56" s="492">
        <f t="shared" si="27"/>
        <v>831</v>
      </c>
      <c r="O56" s="494">
        <v>157</v>
      </c>
      <c r="P56" s="494">
        <v>169</v>
      </c>
      <c r="Q56" s="494">
        <v>179</v>
      </c>
      <c r="R56" s="494">
        <v>156</v>
      </c>
      <c r="S56" s="494">
        <v>170</v>
      </c>
      <c r="T56" s="492">
        <f t="shared" si="28"/>
        <v>831</v>
      </c>
      <c r="U56" s="493"/>
      <c r="V56" s="501"/>
      <c r="W56" s="493"/>
      <c r="X56" s="493"/>
      <c r="Y56" s="493"/>
      <c r="Z56" s="492">
        <f t="shared" si="29"/>
        <v>0</v>
      </c>
      <c r="AA56" s="570">
        <v>153</v>
      </c>
      <c r="AB56" s="570">
        <v>148</v>
      </c>
      <c r="AC56" s="570">
        <v>144</v>
      </c>
      <c r="AD56" s="570">
        <v>128</v>
      </c>
      <c r="AE56" s="570">
        <v>178</v>
      </c>
      <c r="AF56" s="492">
        <f t="shared" si="30"/>
        <v>751</v>
      </c>
      <c r="AG56" s="655">
        <v>174</v>
      </c>
      <c r="AH56" s="655">
        <v>172</v>
      </c>
      <c r="AI56" s="655">
        <v>155</v>
      </c>
      <c r="AJ56" s="655">
        <v>212</v>
      </c>
      <c r="AK56" s="655">
        <v>141</v>
      </c>
      <c r="AL56" s="492">
        <f t="shared" si="31"/>
        <v>854</v>
      </c>
      <c r="AM56" s="45">
        <v>146</v>
      </c>
      <c r="AN56" s="45">
        <v>135</v>
      </c>
      <c r="AO56" s="45">
        <v>181</v>
      </c>
      <c r="AP56" s="45">
        <v>163</v>
      </c>
      <c r="AQ56" s="45">
        <v>165</v>
      </c>
      <c r="AR56" s="492">
        <f t="shared" si="32"/>
        <v>790</v>
      </c>
      <c r="AS56" s="28">
        <f t="shared" ref="AS56:AS70" si="36">SUM(N56,H56,T56,Z56,AF56,AL56,AR56)</f>
        <v>4871</v>
      </c>
      <c r="AT56" s="29">
        <f t="shared" ref="AT56:AT70" si="37">COUNT(C56:G56,I56:M56,O56:S56,U56:Y56,AA56:AE56,AG56:AK56,AM56:AQ56)</f>
        <v>30</v>
      </c>
      <c r="AU56" s="588">
        <f t="shared" si="35"/>
        <v>162.36666666666667</v>
      </c>
    </row>
    <row r="57" spans="1:47" s="30" customFormat="1" ht="15" customHeight="1">
      <c r="A57" s="469" t="s">
        <v>4</v>
      </c>
      <c r="B57" s="416" t="s">
        <v>67</v>
      </c>
      <c r="C57" s="177">
        <v>133</v>
      </c>
      <c r="D57" s="177">
        <v>166</v>
      </c>
      <c r="E57" s="177">
        <v>140</v>
      </c>
      <c r="F57" s="177">
        <v>139</v>
      </c>
      <c r="G57" s="177">
        <v>102</v>
      </c>
      <c r="H57" s="492">
        <f t="shared" si="26"/>
        <v>680</v>
      </c>
      <c r="I57" s="493">
        <v>170</v>
      </c>
      <c r="J57" s="493">
        <v>137</v>
      </c>
      <c r="K57" s="493">
        <v>195</v>
      </c>
      <c r="L57" s="493">
        <v>163</v>
      </c>
      <c r="M57" s="493">
        <v>131</v>
      </c>
      <c r="N57" s="492">
        <f t="shared" si="27"/>
        <v>796</v>
      </c>
      <c r="O57" s="494">
        <v>130</v>
      </c>
      <c r="P57" s="494">
        <v>146</v>
      </c>
      <c r="Q57" s="494">
        <v>183</v>
      </c>
      <c r="R57" s="494">
        <v>167</v>
      </c>
      <c r="S57" s="494">
        <v>142</v>
      </c>
      <c r="T57" s="492">
        <f t="shared" si="28"/>
        <v>768</v>
      </c>
      <c r="U57" s="493">
        <v>131</v>
      </c>
      <c r="V57" s="493">
        <v>181</v>
      </c>
      <c r="W57" s="493">
        <v>138</v>
      </c>
      <c r="X57" s="493">
        <v>163</v>
      </c>
      <c r="Y57" s="493">
        <v>194</v>
      </c>
      <c r="Z57" s="492">
        <f t="shared" si="29"/>
        <v>807</v>
      </c>
      <c r="AA57" s="570">
        <v>156</v>
      </c>
      <c r="AB57" s="570">
        <v>158</v>
      </c>
      <c r="AC57" s="570">
        <v>159</v>
      </c>
      <c r="AD57" s="570">
        <v>192</v>
      </c>
      <c r="AE57" s="570">
        <v>157</v>
      </c>
      <c r="AF57" s="492">
        <f t="shared" si="30"/>
        <v>822</v>
      </c>
      <c r="AG57" s="655">
        <v>211</v>
      </c>
      <c r="AH57" s="655">
        <v>164</v>
      </c>
      <c r="AI57" s="655">
        <v>184</v>
      </c>
      <c r="AJ57" s="655">
        <v>169</v>
      </c>
      <c r="AK57" s="655">
        <v>166</v>
      </c>
      <c r="AL57" s="492">
        <f t="shared" si="31"/>
        <v>894</v>
      </c>
      <c r="AM57" s="45">
        <v>164</v>
      </c>
      <c r="AN57" s="45">
        <v>164</v>
      </c>
      <c r="AO57" s="45">
        <v>163</v>
      </c>
      <c r="AP57" s="45">
        <v>136</v>
      </c>
      <c r="AQ57" s="45">
        <v>134</v>
      </c>
      <c r="AR57" s="492">
        <f t="shared" si="32"/>
        <v>761</v>
      </c>
      <c r="AS57" s="28">
        <f t="shared" si="36"/>
        <v>5528</v>
      </c>
      <c r="AT57" s="29">
        <f t="shared" si="37"/>
        <v>35</v>
      </c>
      <c r="AU57" s="588">
        <f t="shared" si="35"/>
        <v>157.94285714285715</v>
      </c>
    </row>
    <row r="58" spans="1:47" s="30" customFormat="1" ht="15" customHeight="1">
      <c r="A58" s="469" t="s">
        <v>4</v>
      </c>
      <c r="B58" s="416" t="s">
        <v>79</v>
      </c>
      <c r="C58" s="51"/>
      <c r="D58" s="51"/>
      <c r="E58" s="51"/>
      <c r="F58" s="51"/>
      <c r="G58" s="51"/>
      <c r="H58" s="492">
        <f t="shared" si="26"/>
        <v>0</v>
      </c>
      <c r="I58" s="496"/>
      <c r="J58" s="496"/>
      <c r="K58" s="496"/>
      <c r="L58" s="496"/>
      <c r="M58" s="496"/>
      <c r="N58" s="492">
        <f t="shared" si="27"/>
        <v>0</v>
      </c>
      <c r="O58" s="494">
        <v>108</v>
      </c>
      <c r="P58" s="494">
        <v>111</v>
      </c>
      <c r="Q58" s="494">
        <v>147</v>
      </c>
      <c r="R58" s="494">
        <v>115</v>
      </c>
      <c r="S58" s="494">
        <v>100</v>
      </c>
      <c r="T58" s="492">
        <f t="shared" si="28"/>
        <v>581</v>
      </c>
      <c r="U58" s="493"/>
      <c r="V58" s="493"/>
      <c r="W58" s="493"/>
      <c r="X58" s="493"/>
      <c r="Y58" s="493"/>
      <c r="Z58" s="492">
        <f t="shared" si="29"/>
        <v>0</v>
      </c>
      <c r="AA58" s="570">
        <v>99</v>
      </c>
      <c r="AB58" s="570">
        <v>105</v>
      </c>
      <c r="AC58" s="570">
        <v>134</v>
      </c>
      <c r="AD58" s="570">
        <v>97</v>
      </c>
      <c r="AE58" s="570">
        <v>150</v>
      </c>
      <c r="AF58" s="492">
        <f t="shared" si="30"/>
        <v>585</v>
      </c>
      <c r="AG58" s="496"/>
      <c r="AH58" s="496"/>
      <c r="AI58" s="496"/>
      <c r="AJ58" s="496"/>
      <c r="AK58" s="496"/>
      <c r="AL58" s="492">
        <f t="shared" si="31"/>
        <v>0</v>
      </c>
      <c r="AM58" s="829"/>
      <c r="AN58" s="829"/>
      <c r="AO58" s="829"/>
      <c r="AP58" s="829"/>
      <c r="AQ58" s="829"/>
      <c r="AR58" s="492">
        <f t="shared" si="32"/>
        <v>0</v>
      </c>
      <c r="AS58" s="28">
        <f t="shared" si="36"/>
        <v>1166</v>
      </c>
      <c r="AT58" s="29">
        <f t="shared" si="37"/>
        <v>10</v>
      </c>
      <c r="AU58" s="588">
        <f t="shared" ref="AU58:AU70" si="38">IF(AT58=0,"",AS58/AT58)</f>
        <v>116.6</v>
      </c>
    </row>
    <row r="59" spans="1:47" s="30" customFormat="1" ht="15" customHeight="1">
      <c r="A59" s="469" t="s">
        <v>4</v>
      </c>
      <c r="B59" s="417" t="s">
        <v>102</v>
      </c>
      <c r="C59" s="51"/>
      <c r="D59" s="51"/>
      <c r="E59" s="51"/>
      <c r="F59" s="51"/>
      <c r="G59" s="61"/>
      <c r="H59" s="492">
        <f t="shared" si="26"/>
        <v>0</v>
      </c>
      <c r="I59" s="496"/>
      <c r="J59" s="496"/>
      <c r="K59" s="496"/>
      <c r="L59" s="496"/>
      <c r="M59" s="496"/>
      <c r="N59" s="492">
        <f t="shared" si="27"/>
        <v>0</v>
      </c>
      <c r="O59" s="493"/>
      <c r="P59" s="493"/>
      <c r="Q59" s="493"/>
      <c r="R59" s="493"/>
      <c r="S59" s="493"/>
      <c r="T59" s="492">
        <f t="shared" si="28"/>
        <v>0</v>
      </c>
      <c r="U59" s="500"/>
      <c r="V59" s="500"/>
      <c r="W59" s="500"/>
      <c r="X59" s="500"/>
      <c r="Y59" s="500"/>
      <c r="Z59" s="492">
        <f t="shared" si="29"/>
        <v>0</v>
      </c>
      <c r="AA59" s="34"/>
      <c r="AB59" s="34"/>
      <c r="AC59" s="34"/>
      <c r="AD59" s="34"/>
      <c r="AE59" s="34"/>
      <c r="AF59" s="492">
        <f t="shared" si="30"/>
        <v>0</v>
      </c>
      <c r="AG59" s="497"/>
      <c r="AH59" s="497"/>
      <c r="AI59" s="497"/>
      <c r="AJ59" s="497"/>
      <c r="AK59" s="497"/>
      <c r="AL59" s="492">
        <f t="shared" si="31"/>
        <v>0</v>
      </c>
      <c r="AM59" s="45"/>
      <c r="AN59" s="45"/>
      <c r="AO59" s="45"/>
      <c r="AP59" s="45"/>
      <c r="AQ59" s="45"/>
      <c r="AR59" s="492">
        <f t="shared" si="32"/>
        <v>0</v>
      </c>
      <c r="AS59" s="28">
        <f t="shared" si="36"/>
        <v>0</v>
      </c>
      <c r="AT59" s="29">
        <f t="shared" si="37"/>
        <v>0</v>
      </c>
      <c r="AU59" s="588" t="str">
        <f t="shared" si="38"/>
        <v/>
      </c>
    </row>
    <row r="60" spans="1:47" s="30" customFormat="1" ht="15" customHeight="1">
      <c r="A60" s="469" t="s">
        <v>4</v>
      </c>
      <c r="B60" s="417" t="s">
        <v>80</v>
      </c>
      <c r="C60" s="35"/>
      <c r="D60" s="35"/>
      <c r="E60" s="35"/>
      <c r="F60" s="35"/>
      <c r="G60" s="35"/>
      <c r="H60" s="492">
        <f t="shared" si="26"/>
        <v>0</v>
      </c>
      <c r="I60" s="493">
        <v>154</v>
      </c>
      <c r="J60" s="493">
        <v>154</v>
      </c>
      <c r="K60" s="493">
        <v>135</v>
      </c>
      <c r="L60" s="493">
        <v>149</v>
      </c>
      <c r="M60" s="493">
        <v>159</v>
      </c>
      <c r="N60" s="492">
        <f t="shared" si="27"/>
        <v>751</v>
      </c>
      <c r="O60" s="494">
        <v>100</v>
      </c>
      <c r="P60" s="494">
        <v>124</v>
      </c>
      <c r="Q60" s="494">
        <v>164</v>
      </c>
      <c r="R60" s="494">
        <v>155</v>
      </c>
      <c r="S60" s="494">
        <v>117</v>
      </c>
      <c r="T60" s="492">
        <f t="shared" si="28"/>
        <v>660</v>
      </c>
      <c r="U60" s="493"/>
      <c r="V60" s="501"/>
      <c r="W60" s="501"/>
      <c r="X60" s="501"/>
      <c r="Y60" s="501"/>
      <c r="Z60" s="492">
        <f t="shared" si="29"/>
        <v>0</v>
      </c>
      <c r="AA60" s="571"/>
      <c r="AB60" s="571"/>
      <c r="AC60" s="571"/>
      <c r="AD60" s="571"/>
      <c r="AE60" s="571"/>
      <c r="AF60" s="492">
        <f t="shared" si="30"/>
        <v>0</v>
      </c>
      <c r="AG60" s="497"/>
      <c r="AH60" s="497"/>
      <c r="AI60" s="497"/>
      <c r="AJ60" s="497"/>
      <c r="AK60" s="497"/>
      <c r="AL60" s="492">
        <f t="shared" si="31"/>
        <v>0</v>
      </c>
      <c r="AM60" s="829"/>
      <c r="AN60" s="829"/>
      <c r="AO60" s="829"/>
      <c r="AP60" s="829"/>
      <c r="AQ60" s="829"/>
      <c r="AR60" s="492">
        <f t="shared" si="32"/>
        <v>0</v>
      </c>
      <c r="AS60" s="28">
        <f t="shared" si="36"/>
        <v>1411</v>
      </c>
      <c r="AT60" s="29">
        <f t="shared" si="37"/>
        <v>10</v>
      </c>
      <c r="AU60" s="588">
        <f t="shared" si="38"/>
        <v>141.1</v>
      </c>
    </row>
    <row r="61" spans="1:47" s="30" customFormat="1" ht="15" customHeight="1">
      <c r="A61" s="469" t="s">
        <v>4</v>
      </c>
      <c r="B61" s="417" t="s">
        <v>286</v>
      </c>
      <c r="C61" s="51"/>
      <c r="D61" s="51"/>
      <c r="E61" s="51"/>
      <c r="F61" s="51"/>
      <c r="G61" s="51"/>
      <c r="H61" s="492">
        <f t="shared" si="26"/>
        <v>0</v>
      </c>
      <c r="I61" s="496"/>
      <c r="J61" s="496"/>
      <c r="K61" s="496"/>
      <c r="L61" s="496"/>
      <c r="M61" s="496"/>
      <c r="N61" s="492">
        <f t="shared" si="27"/>
        <v>0</v>
      </c>
      <c r="O61" s="503"/>
      <c r="P61" s="503"/>
      <c r="Q61" s="503"/>
      <c r="R61" s="503"/>
      <c r="S61" s="503"/>
      <c r="T61" s="492">
        <f t="shared" si="28"/>
        <v>0</v>
      </c>
      <c r="U61" s="501"/>
      <c r="V61" s="501"/>
      <c r="W61" s="501"/>
      <c r="X61" s="501"/>
      <c r="Y61" s="501"/>
      <c r="Z61" s="492">
        <f t="shared" si="29"/>
        <v>0</v>
      </c>
      <c r="AA61" s="570">
        <v>108</v>
      </c>
      <c r="AB61" s="570">
        <v>81</v>
      </c>
      <c r="AC61" s="570">
        <v>106</v>
      </c>
      <c r="AD61" s="570">
        <v>115</v>
      </c>
      <c r="AE61" s="570">
        <v>108</v>
      </c>
      <c r="AF61" s="492">
        <f t="shared" si="30"/>
        <v>518</v>
      </c>
      <c r="AG61" s="497"/>
      <c r="AH61" s="497"/>
      <c r="AI61" s="497"/>
      <c r="AJ61" s="497"/>
      <c r="AK61" s="497"/>
      <c r="AL61" s="492">
        <f t="shared" si="31"/>
        <v>0</v>
      </c>
      <c r="AM61" s="829"/>
      <c r="AN61" s="829"/>
      <c r="AO61" s="829"/>
      <c r="AP61" s="829"/>
      <c r="AQ61" s="829"/>
      <c r="AR61" s="492">
        <f t="shared" si="32"/>
        <v>0</v>
      </c>
      <c r="AS61" s="28">
        <f t="shared" si="36"/>
        <v>518</v>
      </c>
      <c r="AT61" s="29">
        <f t="shared" si="37"/>
        <v>5</v>
      </c>
      <c r="AU61" s="588">
        <f t="shared" si="38"/>
        <v>103.6</v>
      </c>
    </row>
    <row r="62" spans="1:47" s="30" customFormat="1" ht="15" customHeight="1">
      <c r="A62" s="469" t="s">
        <v>4</v>
      </c>
      <c r="B62" s="417" t="s">
        <v>92</v>
      </c>
      <c r="C62" s="51"/>
      <c r="D62" s="51"/>
      <c r="E62" s="51"/>
      <c r="F62" s="51"/>
      <c r="G62" s="51"/>
      <c r="H62" s="492">
        <f t="shared" si="26"/>
        <v>0</v>
      </c>
      <c r="I62" s="493">
        <v>133</v>
      </c>
      <c r="J62" s="493">
        <v>138</v>
      </c>
      <c r="K62" s="493">
        <v>139</v>
      </c>
      <c r="L62" s="493">
        <v>150</v>
      </c>
      <c r="M62" s="493">
        <v>126</v>
      </c>
      <c r="N62" s="492">
        <f t="shared" si="27"/>
        <v>686</v>
      </c>
      <c r="O62" s="503"/>
      <c r="P62" s="503"/>
      <c r="Q62" s="503"/>
      <c r="R62" s="503"/>
      <c r="S62" s="503"/>
      <c r="T62" s="492">
        <f t="shared" si="28"/>
        <v>0</v>
      </c>
      <c r="U62" s="501"/>
      <c r="V62" s="501"/>
      <c r="W62" s="501"/>
      <c r="X62" s="501"/>
      <c r="Y62" s="501"/>
      <c r="Z62" s="492">
        <f t="shared" si="29"/>
        <v>0</v>
      </c>
      <c r="AA62" s="51"/>
      <c r="AB62" s="51"/>
      <c r="AC62" s="51"/>
      <c r="AD62" s="51"/>
      <c r="AE62" s="51"/>
      <c r="AF62" s="492">
        <f t="shared" si="30"/>
        <v>0</v>
      </c>
      <c r="AG62" s="655">
        <v>123</v>
      </c>
      <c r="AH62" s="655">
        <v>131</v>
      </c>
      <c r="AI62" s="655">
        <v>126</v>
      </c>
      <c r="AJ62" s="655">
        <v>132</v>
      </c>
      <c r="AK62" s="655">
        <v>133</v>
      </c>
      <c r="AL62" s="492">
        <f t="shared" si="31"/>
        <v>645</v>
      </c>
      <c r="AM62" s="829"/>
      <c r="AN62" s="829"/>
      <c r="AO62" s="829"/>
      <c r="AP62" s="829"/>
      <c r="AQ62" s="829"/>
      <c r="AR62" s="492">
        <f t="shared" si="32"/>
        <v>0</v>
      </c>
      <c r="AS62" s="28">
        <f t="shared" si="36"/>
        <v>1331</v>
      </c>
      <c r="AT62" s="29">
        <f t="shared" si="37"/>
        <v>10</v>
      </c>
      <c r="AU62" s="588">
        <f t="shared" si="38"/>
        <v>133.1</v>
      </c>
    </row>
    <row r="63" spans="1:47" s="30" customFormat="1" ht="15" customHeight="1">
      <c r="A63" s="469" t="s">
        <v>4</v>
      </c>
      <c r="B63" s="417" t="s">
        <v>94</v>
      </c>
      <c r="C63" s="51"/>
      <c r="D63" s="51"/>
      <c r="E63" s="51"/>
      <c r="F63" s="51"/>
      <c r="G63" s="51"/>
      <c r="H63" s="492">
        <f t="shared" si="26"/>
        <v>0</v>
      </c>
      <c r="I63" s="496"/>
      <c r="J63" s="496"/>
      <c r="K63" s="496"/>
      <c r="L63" s="496"/>
      <c r="M63" s="496"/>
      <c r="N63" s="492">
        <f t="shared" si="27"/>
        <v>0</v>
      </c>
      <c r="O63" s="494">
        <v>125</v>
      </c>
      <c r="P63" s="494">
        <v>136</v>
      </c>
      <c r="Q63" s="494">
        <v>104</v>
      </c>
      <c r="R63" s="494">
        <v>145</v>
      </c>
      <c r="S63" s="494">
        <v>189</v>
      </c>
      <c r="T63" s="492">
        <f t="shared" si="28"/>
        <v>699</v>
      </c>
      <c r="U63" s="493">
        <v>116</v>
      </c>
      <c r="V63" s="493">
        <v>151</v>
      </c>
      <c r="W63" s="493">
        <v>75</v>
      </c>
      <c r="X63" s="493">
        <v>91</v>
      </c>
      <c r="Y63" s="493">
        <v>116</v>
      </c>
      <c r="Z63" s="492">
        <f t="shared" si="29"/>
        <v>549</v>
      </c>
      <c r="AA63" s="571"/>
      <c r="AB63" s="571"/>
      <c r="AC63" s="571"/>
      <c r="AD63" s="571"/>
      <c r="AE63" s="571"/>
      <c r="AF63" s="492">
        <f t="shared" si="30"/>
        <v>0</v>
      </c>
      <c r="AG63" s="497"/>
      <c r="AH63" s="497"/>
      <c r="AI63" s="497"/>
      <c r="AJ63" s="497"/>
      <c r="AK63" s="497"/>
      <c r="AL63" s="492">
        <f t="shared" si="31"/>
        <v>0</v>
      </c>
      <c r="AM63" s="829"/>
      <c r="AN63" s="829"/>
      <c r="AO63" s="829"/>
      <c r="AP63" s="829"/>
      <c r="AQ63" s="829"/>
      <c r="AR63" s="492">
        <f t="shared" si="32"/>
        <v>0</v>
      </c>
      <c r="AS63" s="28">
        <f t="shared" si="36"/>
        <v>1248</v>
      </c>
      <c r="AT63" s="29">
        <f t="shared" si="37"/>
        <v>10</v>
      </c>
      <c r="AU63" s="588">
        <f t="shared" si="38"/>
        <v>124.8</v>
      </c>
    </row>
    <row r="64" spans="1:47" s="30" customFormat="1" ht="15" customHeight="1">
      <c r="A64" s="469" t="s">
        <v>4</v>
      </c>
      <c r="B64" s="417" t="s">
        <v>95</v>
      </c>
      <c r="C64" s="177">
        <v>156</v>
      </c>
      <c r="D64" s="177">
        <v>143</v>
      </c>
      <c r="E64" s="177">
        <v>171</v>
      </c>
      <c r="F64" s="177">
        <v>128</v>
      </c>
      <c r="G64" s="177">
        <v>109</v>
      </c>
      <c r="H64" s="492">
        <f t="shared" si="26"/>
        <v>707</v>
      </c>
      <c r="I64" s="496"/>
      <c r="J64" s="496"/>
      <c r="K64" s="496"/>
      <c r="L64" s="496"/>
      <c r="M64" s="496"/>
      <c r="N64" s="492">
        <f t="shared" si="27"/>
        <v>0</v>
      </c>
      <c r="O64" s="494">
        <v>129</v>
      </c>
      <c r="P64" s="494">
        <v>144</v>
      </c>
      <c r="Q64" s="494">
        <v>124</v>
      </c>
      <c r="R64" s="494">
        <v>138</v>
      </c>
      <c r="S64" s="494">
        <v>168</v>
      </c>
      <c r="T64" s="492">
        <f t="shared" si="28"/>
        <v>703</v>
      </c>
      <c r="U64" s="493">
        <v>124</v>
      </c>
      <c r="V64" s="493">
        <v>144</v>
      </c>
      <c r="W64" s="493">
        <v>114</v>
      </c>
      <c r="X64" s="493">
        <v>113</v>
      </c>
      <c r="Y64" s="493">
        <v>143</v>
      </c>
      <c r="Z64" s="492">
        <f t="shared" si="29"/>
        <v>638</v>
      </c>
      <c r="AA64" s="570">
        <v>174</v>
      </c>
      <c r="AB64" s="570">
        <v>127</v>
      </c>
      <c r="AC64" s="570">
        <v>186</v>
      </c>
      <c r="AD64" s="570">
        <v>145</v>
      </c>
      <c r="AE64" s="570">
        <v>169</v>
      </c>
      <c r="AF64" s="492">
        <f t="shared" si="30"/>
        <v>801</v>
      </c>
      <c r="AG64" s="496"/>
      <c r="AH64" s="496"/>
      <c r="AI64" s="496"/>
      <c r="AJ64" s="496"/>
      <c r="AK64" s="496"/>
      <c r="AL64" s="492">
        <f t="shared" si="31"/>
        <v>0</v>
      </c>
      <c r="AM64" s="45">
        <v>121</v>
      </c>
      <c r="AN64" s="45">
        <v>165</v>
      </c>
      <c r="AO64" s="45">
        <v>137</v>
      </c>
      <c r="AP64" s="45">
        <v>116</v>
      </c>
      <c r="AQ64" s="45">
        <v>148</v>
      </c>
      <c r="AR64" s="492">
        <f t="shared" si="32"/>
        <v>687</v>
      </c>
      <c r="AS64" s="28">
        <f t="shared" si="36"/>
        <v>3536</v>
      </c>
      <c r="AT64" s="29">
        <f t="shared" si="37"/>
        <v>25</v>
      </c>
      <c r="AU64" s="588">
        <f t="shared" si="38"/>
        <v>141.44</v>
      </c>
    </row>
    <row r="65" spans="1:47" s="30" customFormat="1" ht="15" customHeight="1">
      <c r="A65" s="469" t="s">
        <v>4</v>
      </c>
      <c r="B65" s="417" t="s">
        <v>243</v>
      </c>
      <c r="C65" s="51"/>
      <c r="D65" s="51"/>
      <c r="E65" s="51"/>
      <c r="F65" s="51"/>
      <c r="G65" s="51"/>
      <c r="H65" s="492">
        <f t="shared" si="26"/>
        <v>0</v>
      </c>
      <c r="I65" s="496"/>
      <c r="J65" s="496"/>
      <c r="K65" s="496"/>
      <c r="L65" s="496"/>
      <c r="M65" s="496"/>
      <c r="N65" s="492">
        <f t="shared" si="27"/>
        <v>0</v>
      </c>
      <c r="O65" s="494">
        <v>84</v>
      </c>
      <c r="P65" s="494">
        <v>114</v>
      </c>
      <c r="Q65" s="494">
        <v>108</v>
      </c>
      <c r="R65" s="494">
        <v>98</v>
      </c>
      <c r="S65" s="494">
        <v>104</v>
      </c>
      <c r="T65" s="492">
        <f t="shared" si="28"/>
        <v>508</v>
      </c>
      <c r="U65" s="493">
        <v>92</v>
      </c>
      <c r="V65" s="493">
        <v>79</v>
      </c>
      <c r="W65" s="493">
        <v>153</v>
      </c>
      <c r="X65" s="493">
        <v>116</v>
      </c>
      <c r="Y65" s="493">
        <v>116</v>
      </c>
      <c r="Z65" s="492">
        <f t="shared" si="29"/>
        <v>556</v>
      </c>
      <c r="AA65" s="51"/>
      <c r="AB65" s="51"/>
      <c r="AC65" s="51"/>
      <c r="AD65" s="51"/>
      <c r="AE65" s="51"/>
      <c r="AF65" s="492">
        <f t="shared" si="30"/>
        <v>0</v>
      </c>
      <c r="AG65" s="497"/>
      <c r="AH65" s="497"/>
      <c r="AI65" s="497"/>
      <c r="AJ65" s="497"/>
      <c r="AK65" s="497"/>
      <c r="AL65" s="492">
        <f t="shared" si="31"/>
        <v>0</v>
      </c>
      <c r="AM65" s="829"/>
      <c r="AN65" s="829"/>
      <c r="AO65" s="829"/>
      <c r="AP65" s="829"/>
      <c r="AQ65" s="829"/>
      <c r="AR65" s="492">
        <f t="shared" si="32"/>
        <v>0</v>
      </c>
      <c r="AS65" s="28">
        <f t="shared" si="36"/>
        <v>1064</v>
      </c>
      <c r="AT65" s="29">
        <f t="shared" si="37"/>
        <v>10</v>
      </c>
      <c r="AU65" s="588">
        <f t="shared" si="38"/>
        <v>106.4</v>
      </c>
    </row>
    <row r="66" spans="1:47" s="30" customFormat="1" ht="15" customHeight="1">
      <c r="A66" s="469" t="s">
        <v>4</v>
      </c>
      <c r="B66" s="417" t="s">
        <v>217</v>
      </c>
      <c r="C66" s="177">
        <v>112</v>
      </c>
      <c r="D66" s="177">
        <v>128</v>
      </c>
      <c r="E66" s="177">
        <v>120</v>
      </c>
      <c r="F66" s="177">
        <v>89</v>
      </c>
      <c r="G66" s="177">
        <v>104</v>
      </c>
      <c r="H66" s="492">
        <f t="shared" si="26"/>
        <v>553</v>
      </c>
      <c r="I66" s="493">
        <v>135</v>
      </c>
      <c r="J66" s="493">
        <v>121</v>
      </c>
      <c r="K66" s="493">
        <v>81</v>
      </c>
      <c r="L66" s="493">
        <v>133</v>
      </c>
      <c r="M66" s="493">
        <v>103</v>
      </c>
      <c r="N66" s="492">
        <f>SUM(I66+J66+K66+L66+M66)</f>
        <v>573</v>
      </c>
      <c r="O66" s="494">
        <v>103</v>
      </c>
      <c r="P66" s="494">
        <v>108</v>
      </c>
      <c r="Q66" s="494">
        <v>128</v>
      </c>
      <c r="R66" s="494">
        <v>135</v>
      </c>
      <c r="S66" s="494">
        <v>93</v>
      </c>
      <c r="T66" s="492">
        <f>SUM(O66+P66+Q66+R66+S66)</f>
        <v>567</v>
      </c>
      <c r="U66" s="493">
        <v>117</v>
      </c>
      <c r="V66" s="493">
        <v>110</v>
      </c>
      <c r="W66" s="493">
        <v>98</v>
      </c>
      <c r="X66" s="493">
        <v>109</v>
      </c>
      <c r="Y66" s="493">
        <v>126</v>
      </c>
      <c r="Z66" s="492">
        <f>SUM(U66+V66+W66+X66+Y66)</f>
        <v>560</v>
      </c>
      <c r="AA66" s="570">
        <v>121</v>
      </c>
      <c r="AB66" s="570">
        <v>125</v>
      </c>
      <c r="AC66" s="570">
        <v>158</v>
      </c>
      <c r="AD66" s="570">
        <v>116</v>
      </c>
      <c r="AE66" s="570">
        <v>129</v>
      </c>
      <c r="AF66" s="492">
        <f t="shared" ref="AF66:AF72" si="39">SUM(AA66+AB66+AC66+AD66+AE66)</f>
        <v>649</v>
      </c>
      <c r="AG66" s="497"/>
      <c r="AH66" s="497"/>
      <c r="AI66" s="497"/>
      <c r="AJ66" s="497"/>
      <c r="AK66" s="497"/>
      <c r="AL66" s="492">
        <f t="shared" ref="AL66:AL72" si="40">SUM(AG66+AH66+AI66+AJ66+AK66)</f>
        <v>0</v>
      </c>
      <c r="AM66" s="829"/>
      <c r="AN66" s="829"/>
      <c r="AO66" s="829"/>
      <c r="AP66" s="829"/>
      <c r="AQ66" s="829"/>
      <c r="AR66" s="492">
        <f t="shared" ref="AR66:AR72" si="41">SUM(AM66+AN66+AO66+AP66+AQ66)</f>
        <v>0</v>
      </c>
      <c r="AS66" s="28">
        <f t="shared" si="36"/>
        <v>2902</v>
      </c>
      <c r="AT66" s="29">
        <f t="shared" si="37"/>
        <v>25</v>
      </c>
      <c r="AU66" s="588">
        <f t="shared" si="38"/>
        <v>116.08</v>
      </c>
    </row>
    <row r="67" spans="1:47" s="30" customFormat="1" ht="15" customHeight="1">
      <c r="A67" s="469" t="s">
        <v>4</v>
      </c>
      <c r="B67" s="417" t="s">
        <v>218</v>
      </c>
      <c r="C67" s="177">
        <v>132</v>
      </c>
      <c r="D67" s="177">
        <v>137</v>
      </c>
      <c r="E67" s="177">
        <v>139</v>
      </c>
      <c r="F67" s="177">
        <v>116</v>
      </c>
      <c r="G67" s="177">
        <v>103</v>
      </c>
      <c r="H67" s="492">
        <f t="shared" si="26"/>
        <v>627</v>
      </c>
      <c r="I67" s="496"/>
      <c r="J67" s="496"/>
      <c r="K67" s="496"/>
      <c r="L67" s="496"/>
      <c r="M67" s="496"/>
      <c r="N67" s="492">
        <f>SUM(I67+J67+K67+L67+M67)</f>
        <v>0</v>
      </c>
      <c r="O67" s="500"/>
      <c r="P67" s="500"/>
      <c r="Q67" s="500"/>
      <c r="R67" s="500"/>
      <c r="S67" s="500"/>
      <c r="T67" s="492">
        <f>SUM(O67+P67+Q67+R67+S67)</f>
        <v>0</v>
      </c>
      <c r="U67" s="501"/>
      <c r="V67" s="501"/>
      <c r="W67" s="501"/>
      <c r="X67" s="501"/>
      <c r="Y67" s="501"/>
      <c r="Z67" s="492">
        <f>SUM(U67+V67+W67+X67+Y67)</f>
        <v>0</v>
      </c>
      <c r="AA67" s="51"/>
      <c r="AB67" s="51"/>
      <c r="AC67" s="51"/>
      <c r="AD67" s="51"/>
      <c r="AE67" s="51"/>
      <c r="AF67" s="492">
        <f t="shared" si="39"/>
        <v>0</v>
      </c>
      <c r="AG67" s="497"/>
      <c r="AH67" s="497"/>
      <c r="AI67" s="497"/>
      <c r="AJ67" s="497"/>
      <c r="AK67" s="497"/>
      <c r="AL67" s="492">
        <f t="shared" si="40"/>
        <v>0</v>
      </c>
      <c r="AM67" s="829"/>
      <c r="AN67" s="829"/>
      <c r="AO67" s="829"/>
      <c r="AP67" s="829"/>
      <c r="AQ67" s="829"/>
      <c r="AR67" s="492">
        <f t="shared" si="41"/>
        <v>0</v>
      </c>
      <c r="AS67" s="28">
        <f>SUM(N67,H67,T67,Z67,AF67,AL67,AR67)</f>
        <v>627</v>
      </c>
      <c r="AT67" s="29">
        <f>COUNT(C67:G67,I67:M67,O67:S67,U67:Y67,AA67:AE67,AG67:AK67,AM67:AQ67)</f>
        <v>5</v>
      </c>
      <c r="AU67" s="588">
        <f>IF(AT67=0,"",AS67/AT67)</f>
        <v>125.4</v>
      </c>
    </row>
    <row r="68" spans="1:47" s="30" customFormat="1" ht="15" customHeight="1">
      <c r="A68" s="469" t="s">
        <v>4</v>
      </c>
      <c r="B68" s="417" t="s">
        <v>287</v>
      </c>
      <c r="C68" s="45"/>
      <c r="D68" s="45"/>
      <c r="E68" s="45"/>
      <c r="F68" s="45"/>
      <c r="G68" s="45"/>
      <c r="H68" s="492"/>
      <c r="I68" s="496"/>
      <c r="J68" s="496"/>
      <c r="K68" s="496"/>
      <c r="L68" s="496"/>
      <c r="M68" s="496"/>
      <c r="N68" s="492"/>
      <c r="O68" s="500"/>
      <c r="P68" s="500"/>
      <c r="Q68" s="500"/>
      <c r="R68" s="500"/>
      <c r="S68" s="500"/>
      <c r="T68" s="492"/>
      <c r="U68" s="501"/>
      <c r="V68" s="501"/>
      <c r="W68" s="501"/>
      <c r="X68" s="501"/>
      <c r="Y68" s="501"/>
      <c r="Z68" s="492"/>
      <c r="AA68" s="570">
        <v>140</v>
      </c>
      <c r="AB68" s="570">
        <v>112</v>
      </c>
      <c r="AC68" s="570">
        <v>97</v>
      </c>
      <c r="AD68" s="570">
        <v>109</v>
      </c>
      <c r="AE68" s="570">
        <v>92</v>
      </c>
      <c r="AF68" s="492">
        <f t="shared" si="39"/>
        <v>550</v>
      </c>
      <c r="AG68" s="496"/>
      <c r="AH68" s="496"/>
      <c r="AI68" s="496"/>
      <c r="AJ68" s="496"/>
      <c r="AK68" s="496"/>
      <c r="AL68" s="492">
        <f t="shared" si="40"/>
        <v>0</v>
      </c>
      <c r="AM68" s="829"/>
      <c r="AN68" s="829"/>
      <c r="AO68" s="829"/>
      <c r="AP68" s="829"/>
      <c r="AQ68" s="829"/>
      <c r="AR68" s="492">
        <f t="shared" si="41"/>
        <v>0</v>
      </c>
      <c r="AS68" s="28">
        <f t="shared" si="36"/>
        <v>550</v>
      </c>
      <c r="AT68" s="29">
        <f t="shared" si="37"/>
        <v>5</v>
      </c>
      <c r="AU68" s="588">
        <f t="shared" si="38"/>
        <v>110</v>
      </c>
    </row>
    <row r="69" spans="1:47" s="30" customFormat="1" ht="15" customHeight="1">
      <c r="A69" s="469" t="s">
        <v>4</v>
      </c>
      <c r="B69" s="417" t="s">
        <v>117</v>
      </c>
      <c r="C69" s="45"/>
      <c r="D69" s="45"/>
      <c r="E69" s="45"/>
      <c r="F69" s="45"/>
      <c r="G69" s="45"/>
      <c r="H69" s="492"/>
      <c r="I69" s="493">
        <v>139</v>
      </c>
      <c r="J69" s="493">
        <v>135</v>
      </c>
      <c r="K69" s="493">
        <v>109</v>
      </c>
      <c r="L69" s="493">
        <v>119</v>
      </c>
      <c r="M69" s="493">
        <v>119</v>
      </c>
      <c r="N69" s="492">
        <f>SUM(I69+J69+K69+L69+M69)</f>
        <v>621</v>
      </c>
      <c r="O69" s="500"/>
      <c r="P69" s="500"/>
      <c r="Q69" s="500"/>
      <c r="R69" s="500"/>
      <c r="S69" s="500"/>
      <c r="T69" s="492">
        <f>SUM(O69+P69+Q69+R69+S69)</f>
        <v>0</v>
      </c>
      <c r="U69" s="501"/>
      <c r="V69" s="501"/>
      <c r="W69" s="501"/>
      <c r="X69" s="501"/>
      <c r="Y69" s="501"/>
      <c r="Z69" s="492">
        <f>SUM(U69+V69+W69+X69+Y69)</f>
        <v>0</v>
      </c>
      <c r="AA69" s="562"/>
      <c r="AB69" s="562"/>
      <c r="AC69" s="562"/>
      <c r="AD69" s="562"/>
      <c r="AE69" s="562"/>
      <c r="AF69" s="492">
        <f t="shared" si="39"/>
        <v>0</v>
      </c>
      <c r="AG69" s="655">
        <v>132</v>
      </c>
      <c r="AH69" s="655">
        <v>137</v>
      </c>
      <c r="AI69" s="655">
        <v>129</v>
      </c>
      <c r="AJ69" s="655">
        <v>140</v>
      </c>
      <c r="AK69" s="655">
        <v>112</v>
      </c>
      <c r="AL69" s="492">
        <f t="shared" si="40"/>
        <v>650</v>
      </c>
      <c r="AM69" s="829"/>
      <c r="AN69" s="829"/>
      <c r="AO69" s="829"/>
      <c r="AP69" s="829"/>
      <c r="AQ69" s="829"/>
      <c r="AR69" s="492">
        <f t="shared" si="41"/>
        <v>0</v>
      </c>
      <c r="AS69" s="28">
        <f t="shared" si="36"/>
        <v>1271</v>
      </c>
      <c r="AT69" s="29">
        <f t="shared" si="37"/>
        <v>10</v>
      </c>
      <c r="AU69" s="588">
        <f t="shared" si="38"/>
        <v>127.1</v>
      </c>
    </row>
    <row r="70" spans="1:47" s="30" customFormat="1" ht="15" customHeight="1">
      <c r="A70" s="469" t="s">
        <v>4</v>
      </c>
      <c r="B70" s="417" t="s">
        <v>124</v>
      </c>
      <c r="C70" s="45"/>
      <c r="D70" s="45"/>
      <c r="E70" s="45"/>
      <c r="F70" s="45"/>
      <c r="G70" s="45"/>
      <c r="H70" s="492"/>
      <c r="I70" s="504"/>
      <c r="J70" s="504"/>
      <c r="K70" s="504"/>
      <c r="L70" s="504"/>
      <c r="M70" s="504"/>
      <c r="N70" s="492"/>
      <c r="O70" s="500"/>
      <c r="P70" s="500"/>
      <c r="Q70" s="500"/>
      <c r="R70" s="500"/>
      <c r="S70" s="500"/>
      <c r="T70" s="492"/>
      <c r="U70" s="493">
        <v>153</v>
      </c>
      <c r="V70" s="493">
        <v>136</v>
      </c>
      <c r="W70" s="493">
        <v>184</v>
      </c>
      <c r="X70" s="493">
        <v>167</v>
      </c>
      <c r="Y70" s="493">
        <v>139</v>
      </c>
      <c r="Z70" s="492">
        <f>SUM(U70+V70+W70+X70+Y70)</f>
        <v>779</v>
      </c>
      <c r="AA70" s="570">
        <v>125</v>
      </c>
      <c r="AB70" s="570">
        <v>98</v>
      </c>
      <c r="AC70" s="570">
        <v>183</v>
      </c>
      <c r="AD70" s="570">
        <v>131</v>
      </c>
      <c r="AE70" s="570">
        <v>130</v>
      </c>
      <c r="AF70" s="492">
        <f t="shared" si="39"/>
        <v>667</v>
      </c>
      <c r="AG70" s="655">
        <v>119</v>
      </c>
      <c r="AH70" s="655">
        <v>122</v>
      </c>
      <c r="AI70" s="655">
        <v>136</v>
      </c>
      <c r="AJ70" s="655">
        <v>157</v>
      </c>
      <c r="AK70" s="655">
        <v>182</v>
      </c>
      <c r="AL70" s="492">
        <f t="shared" si="40"/>
        <v>716</v>
      </c>
      <c r="AM70" s="45">
        <v>123</v>
      </c>
      <c r="AN70" s="45">
        <v>132</v>
      </c>
      <c r="AO70" s="45">
        <v>103</v>
      </c>
      <c r="AP70" s="45">
        <v>134</v>
      </c>
      <c r="AQ70" s="45">
        <v>150</v>
      </c>
      <c r="AR70" s="492">
        <f t="shared" si="41"/>
        <v>642</v>
      </c>
      <c r="AS70" s="28">
        <f t="shared" si="36"/>
        <v>2804</v>
      </c>
      <c r="AT70" s="29">
        <f t="shared" si="37"/>
        <v>20</v>
      </c>
      <c r="AU70" s="588">
        <f t="shared" si="38"/>
        <v>140.19999999999999</v>
      </c>
    </row>
    <row r="71" spans="1:47" s="30" customFormat="1" ht="15" customHeight="1">
      <c r="A71" s="469" t="s">
        <v>4</v>
      </c>
      <c r="B71" s="417" t="s">
        <v>253</v>
      </c>
      <c r="C71" s="45"/>
      <c r="D71" s="45"/>
      <c r="E71" s="45"/>
      <c r="F71" s="45"/>
      <c r="G71" s="45"/>
      <c r="H71" s="492"/>
      <c r="I71" s="504"/>
      <c r="J71" s="504"/>
      <c r="K71" s="504"/>
      <c r="L71" s="504"/>
      <c r="M71" s="504"/>
      <c r="N71" s="492"/>
      <c r="O71" s="500"/>
      <c r="P71" s="500"/>
      <c r="Q71" s="500"/>
      <c r="R71" s="500"/>
      <c r="S71" s="500"/>
      <c r="T71" s="492"/>
      <c r="U71" s="493">
        <v>109</v>
      </c>
      <c r="V71" s="493">
        <v>93</v>
      </c>
      <c r="W71" s="493">
        <v>93</v>
      </c>
      <c r="X71" s="493">
        <v>100</v>
      </c>
      <c r="Y71" s="493">
        <v>92</v>
      </c>
      <c r="Z71" s="492">
        <f>SUM(U71+V71+W71+X71+Y71)</f>
        <v>487</v>
      </c>
      <c r="AA71" s="502"/>
      <c r="AB71" s="502"/>
      <c r="AC71" s="502"/>
      <c r="AD71" s="502"/>
      <c r="AE71" s="502"/>
      <c r="AF71" s="492">
        <f t="shared" si="39"/>
        <v>0</v>
      </c>
      <c r="AG71" s="496"/>
      <c r="AH71" s="496"/>
      <c r="AI71" s="496"/>
      <c r="AJ71" s="496"/>
      <c r="AK71" s="496"/>
      <c r="AL71" s="492">
        <f t="shared" si="40"/>
        <v>0</v>
      </c>
      <c r="AM71" s="829"/>
      <c r="AN71" s="829"/>
      <c r="AO71" s="829"/>
      <c r="AP71" s="829"/>
      <c r="AQ71" s="829"/>
      <c r="AR71" s="492">
        <f t="shared" si="41"/>
        <v>0</v>
      </c>
      <c r="AS71" s="28">
        <f>SUM(N71,H71,T71,Z71,AF71,AL71,AR71)</f>
        <v>487</v>
      </c>
      <c r="AT71" s="29">
        <f>COUNT(C71:G71,I71:M71,O71:S71,U71:Y71,AA71:AE71,AG71:AK71,AM71:AQ71)</f>
        <v>5</v>
      </c>
      <c r="AU71" s="588">
        <f>IF(AT71=0,"",AS71/AT71)</f>
        <v>97.4</v>
      </c>
    </row>
    <row r="72" spans="1:47" s="30" customFormat="1" ht="15" customHeight="1">
      <c r="A72" s="469" t="s">
        <v>4</v>
      </c>
      <c r="B72" s="417" t="s">
        <v>254</v>
      </c>
      <c r="C72" s="45"/>
      <c r="D72" s="45"/>
      <c r="E72" s="45"/>
      <c r="F72" s="45"/>
      <c r="G72" s="45"/>
      <c r="H72" s="492"/>
      <c r="I72" s="504"/>
      <c r="J72" s="504"/>
      <c r="K72" s="504"/>
      <c r="L72" s="504"/>
      <c r="M72" s="504"/>
      <c r="N72" s="492"/>
      <c r="O72" s="500"/>
      <c r="P72" s="500"/>
      <c r="Q72" s="500"/>
      <c r="R72" s="500"/>
      <c r="S72" s="500"/>
      <c r="T72" s="492"/>
      <c r="U72" s="493">
        <v>160</v>
      </c>
      <c r="V72" s="493">
        <v>109</v>
      </c>
      <c r="W72" s="493">
        <v>94</v>
      </c>
      <c r="X72" s="493">
        <v>117</v>
      </c>
      <c r="Y72" s="493">
        <v>97</v>
      </c>
      <c r="Z72" s="492">
        <f>SUM(U72+V72+W72+X72+Y72)</f>
        <v>577</v>
      </c>
      <c r="AA72" s="502"/>
      <c r="AB72" s="502"/>
      <c r="AC72" s="502"/>
      <c r="AD72" s="502"/>
      <c r="AE72" s="502"/>
      <c r="AF72" s="492">
        <f t="shared" si="39"/>
        <v>0</v>
      </c>
      <c r="AG72" s="655">
        <v>88</v>
      </c>
      <c r="AH72" s="655">
        <v>110</v>
      </c>
      <c r="AI72" s="655">
        <v>124</v>
      </c>
      <c r="AJ72" s="655">
        <v>88</v>
      </c>
      <c r="AK72" s="655">
        <v>128</v>
      </c>
      <c r="AL72" s="492">
        <f t="shared" si="40"/>
        <v>538</v>
      </c>
      <c r="AM72" s="45">
        <v>104</v>
      </c>
      <c r="AN72" s="45">
        <v>117</v>
      </c>
      <c r="AO72" s="45">
        <v>155</v>
      </c>
      <c r="AP72" s="45">
        <v>178</v>
      </c>
      <c r="AQ72" s="45">
        <v>78</v>
      </c>
      <c r="AR72" s="492">
        <f t="shared" si="41"/>
        <v>632</v>
      </c>
      <c r="AS72" s="28">
        <f>SUM(N72,H72,T72,Z72,AF72,AL72,AR72)</f>
        <v>1747</v>
      </c>
      <c r="AT72" s="29">
        <f>COUNT(C72:G72,I72:M72,O72:S72,U72:Y72,AA72:AE72,AG72:AK72,AM72:AQ72)</f>
        <v>15</v>
      </c>
      <c r="AU72" s="588">
        <f>IF(AT72=0,"",AS72/AT72)</f>
        <v>116.46666666666667</v>
      </c>
    </row>
    <row r="73" spans="1:47" s="30" customFormat="1" ht="15">
      <c r="A73" s="469"/>
      <c r="B73" s="413"/>
      <c r="C73" s="9"/>
      <c r="D73" s="9"/>
      <c r="E73" s="31"/>
      <c r="F73" s="31"/>
      <c r="G73" s="31"/>
      <c r="H73" s="492"/>
      <c r="I73" s="512"/>
      <c r="J73" s="512"/>
      <c r="K73" s="512"/>
      <c r="L73" s="512"/>
      <c r="M73" s="512"/>
      <c r="N73" s="509"/>
      <c r="O73" s="497"/>
      <c r="P73" s="497"/>
      <c r="Q73" s="497"/>
      <c r="R73" s="497"/>
      <c r="S73" s="497"/>
      <c r="T73" s="509"/>
      <c r="U73" s="501"/>
      <c r="V73" s="501"/>
      <c r="W73" s="501"/>
      <c r="X73" s="501"/>
      <c r="Y73" s="501"/>
      <c r="Z73" s="509"/>
      <c r="AA73" s="501"/>
      <c r="AB73" s="501"/>
      <c r="AC73" s="501"/>
      <c r="AD73" s="501"/>
      <c r="AE73" s="501"/>
      <c r="AF73" s="509"/>
      <c r="AG73" s="497"/>
      <c r="AH73" s="497"/>
      <c r="AI73" s="497"/>
      <c r="AJ73" s="497"/>
      <c r="AK73" s="497"/>
      <c r="AL73" s="509"/>
      <c r="AM73" s="497"/>
      <c r="AN73" s="497"/>
      <c r="AO73" s="497"/>
      <c r="AP73" s="497"/>
      <c r="AQ73" s="497"/>
      <c r="AR73" s="509"/>
      <c r="AS73" s="28"/>
      <c r="AT73" s="29"/>
      <c r="AU73" s="588"/>
    </row>
    <row r="74" spans="1:47" s="30" customFormat="1" ht="15.75" thickBot="1">
      <c r="A74" s="470"/>
      <c r="B74" s="471"/>
      <c r="C74" s="439"/>
      <c r="D74" s="439"/>
      <c r="E74" s="472"/>
      <c r="F74" s="472"/>
      <c r="G74" s="472"/>
      <c r="H74" s="440"/>
      <c r="I74" s="439"/>
      <c r="J74" s="439"/>
      <c r="K74" s="439"/>
      <c r="L74" s="439"/>
      <c r="M74" s="439"/>
      <c r="N74" s="441"/>
      <c r="O74" s="441"/>
      <c r="P74" s="441"/>
      <c r="Q74" s="441"/>
      <c r="R74" s="441"/>
      <c r="S74" s="441"/>
      <c r="T74" s="441"/>
      <c r="U74" s="442"/>
      <c r="V74" s="442"/>
      <c r="W74" s="442"/>
      <c r="X74" s="442"/>
      <c r="Y74" s="442"/>
      <c r="Z74" s="441"/>
      <c r="AA74" s="442"/>
      <c r="AB74" s="442"/>
      <c r="AC74" s="442"/>
      <c r="AD74" s="442"/>
      <c r="AE74" s="442"/>
      <c r="AF74" s="441"/>
      <c r="AG74" s="441"/>
      <c r="AH74" s="441"/>
      <c r="AI74" s="441"/>
      <c r="AJ74" s="441"/>
      <c r="AK74" s="441"/>
      <c r="AL74" s="441"/>
      <c r="AM74" s="441"/>
      <c r="AN74" s="441"/>
      <c r="AO74" s="441"/>
      <c r="AP74" s="441"/>
      <c r="AQ74" s="441"/>
      <c r="AR74" s="441"/>
      <c r="AS74" s="441">
        <f>SUM(AS50:AS73)</f>
        <v>47303</v>
      </c>
      <c r="AT74" s="441">
        <f>SUM(AT50:AT73)</f>
        <v>350</v>
      </c>
      <c r="AU74" s="443">
        <f>IF(AT74=0,"",AS74/AT74)</f>
        <v>135.15142857142857</v>
      </c>
    </row>
    <row r="75" spans="1:47" s="30" customFormat="1" ht="15.75" thickBot="1">
      <c r="A75" s="473" t="s">
        <v>20</v>
      </c>
      <c r="B75" s="474"/>
      <c r="C75" s="446"/>
      <c r="D75" s="446"/>
      <c r="E75" s="475"/>
      <c r="F75" s="475"/>
      <c r="G75" s="475"/>
      <c r="H75" s="447"/>
      <c r="I75" s="446"/>
      <c r="J75" s="446"/>
      <c r="K75" s="446"/>
      <c r="L75" s="446"/>
      <c r="M75" s="446"/>
      <c r="N75" s="447"/>
      <c r="O75" s="447"/>
      <c r="P75" s="447"/>
      <c r="Q75" s="447"/>
      <c r="R75" s="447"/>
      <c r="S75" s="447"/>
      <c r="T75" s="447"/>
      <c r="U75" s="448"/>
      <c r="V75" s="448"/>
      <c r="W75" s="448"/>
      <c r="X75" s="448"/>
      <c r="Y75" s="448"/>
      <c r="Z75" s="447"/>
      <c r="AA75" s="448"/>
      <c r="AB75" s="448"/>
      <c r="AC75" s="448"/>
      <c r="AD75" s="448"/>
      <c r="AE75" s="448"/>
      <c r="AF75" s="447"/>
      <c r="AG75" s="447"/>
      <c r="AH75" s="447"/>
      <c r="AI75" s="447"/>
      <c r="AJ75" s="447"/>
      <c r="AK75" s="447"/>
      <c r="AL75" s="447"/>
      <c r="AM75" s="447"/>
      <c r="AN75" s="447"/>
      <c r="AO75" s="447"/>
      <c r="AP75" s="447"/>
      <c r="AQ75" s="447"/>
      <c r="AR75" s="447"/>
      <c r="AS75" s="447"/>
      <c r="AT75" s="447"/>
      <c r="AU75" s="449"/>
    </row>
    <row r="76" spans="1:47" s="30" customFormat="1" ht="15">
      <c r="A76" s="476" t="s">
        <v>0</v>
      </c>
      <c r="B76" s="477" t="s">
        <v>3</v>
      </c>
      <c r="C76" s="452">
        <v>192</v>
      </c>
      <c r="D76" s="452">
        <v>188</v>
      </c>
      <c r="E76" s="452">
        <v>205</v>
      </c>
      <c r="F76" s="452">
        <v>140</v>
      </c>
      <c r="G76" s="452">
        <v>156</v>
      </c>
      <c r="H76" s="489">
        <f t="shared" ref="H76:H92" si="42">SUM(C76+D76+E76+F76+G76)</f>
        <v>881</v>
      </c>
      <c r="I76" s="490">
        <v>194</v>
      </c>
      <c r="J76" s="490">
        <v>218</v>
      </c>
      <c r="K76" s="490">
        <v>150</v>
      </c>
      <c r="L76" s="490">
        <v>158</v>
      </c>
      <c r="M76" s="490">
        <v>156</v>
      </c>
      <c r="N76" s="489">
        <f t="shared" ref="N76:N92" si="43">SUM(I76+J76+K76+L76+M76)</f>
        <v>876</v>
      </c>
      <c r="O76" s="491">
        <v>167</v>
      </c>
      <c r="P76" s="491">
        <v>153</v>
      </c>
      <c r="Q76" s="491">
        <v>171</v>
      </c>
      <c r="R76" s="491">
        <v>143</v>
      </c>
      <c r="S76" s="491">
        <v>180</v>
      </c>
      <c r="T76" s="489">
        <f t="shared" ref="T76:T86" si="44">SUM(O76+P76+Q76+R76+S76)</f>
        <v>814</v>
      </c>
      <c r="U76" s="490">
        <v>187</v>
      </c>
      <c r="V76" s="490">
        <v>192</v>
      </c>
      <c r="W76" s="490">
        <v>175</v>
      </c>
      <c r="X76" s="490">
        <v>168</v>
      </c>
      <c r="Y76" s="490">
        <v>179</v>
      </c>
      <c r="Z76" s="489">
        <f t="shared" ref="Z76:Z86" si="45">SUM(U76+V76+W76+X76+Y76)</f>
        <v>901</v>
      </c>
      <c r="AA76" s="587">
        <v>162</v>
      </c>
      <c r="AB76" s="587">
        <v>148</v>
      </c>
      <c r="AC76" s="587">
        <v>128</v>
      </c>
      <c r="AD76" s="587">
        <v>183</v>
      </c>
      <c r="AE76" s="587">
        <v>145</v>
      </c>
      <c r="AF76" s="489">
        <f t="shared" ref="AF76:AF86" si="46">SUM(AA76+AB76+AC76+AD76+AE76)</f>
        <v>766</v>
      </c>
      <c r="AG76" s="653">
        <v>180</v>
      </c>
      <c r="AH76" s="653">
        <v>146</v>
      </c>
      <c r="AI76" s="653">
        <v>177</v>
      </c>
      <c r="AJ76" s="653">
        <v>181</v>
      </c>
      <c r="AK76" s="653">
        <v>150</v>
      </c>
      <c r="AL76" s="489">
        <f t="shared" ref="AL76:AL86" si="47">SUM(AG76+AH76+AI76+AJ76+AK76)</f>
        <v>834</v>
      </c>
      <c r="AM76" s="830">
        <v>174</v>
      </c>
      <c r="AN76" s="830">
        <v>148</v>
      </c>
      <c r="AO76" s="830">
        <v>167</v>
      </c>
      <c r="AP76" s="830">
        <v>171</v>
      </c>
      <c r="AQ76" s="830">
        <v>184</v>
      </c>
      <c r="AR76" s="489">
        <f t="shared" ref="AR76:AR86" si="48">SUM(AM76+AN76+AO76+AP76+AQ76)</f>
        <v>844</v>
      </c>
      <c r="AS76" s="453">
        <f t="shared" ref="AS76:AS85" si="49">SUM(N76,H76,T76,Z76,AF76,AL76,AR76)</f>
        <v>5916</v>
      </c>
      <c r="AT76" s="454">
        <f t="shared" ref="AT76:AT85" si="50">COUNT(C76:G76,I76:M76,O76:S76,U76:Y76,AA76:AE76,AG76:AK76,AM76:AQ76)</f>
        <v>35</v>
      </c>
      <c r="AU76" s="589">
        <f t="shared" ref="AU76:AU85" si="51">IF(AT76=0,"",AS76/AT76)</f>
        <v>169.02857142857144</v>
      </c>
    </row>
    <row r="77" spans="1:47" s="30" customFormat="1" ht="15">
      <c r="A77" s="478" t="s">
        <v>0</v>
      </c>
      <c r="B77" s="418" t="s">
        <v>27</v>
      </c>
      <c r="C77" s="177">
        <v>146</v>
      </c>
      <c r="D77" s="177">
        <v>137</v>
      </c>
      <c r="E77" s="177">
        <v>143</v>
      </c>
      <c r="F77" s="177">
        <v>185</v>
      </c>
      <c r="G77" s="177">
        <v>133</v>
      </c>
      <c r="H77" s="492">
        <f t="shared" si="42"/>
        <v>744</v>
      </c>
      <c r="I77" s="493">
        <v>172</v>
      </c>
      <c r="J77" s="493">
        <v>179</v>
      </c>
      <c r="K77" s="493">
        <v>183</v>
      </c>
      <c r="L77" s="493">
        <v>185</v>
      </c>
      <c r="M77" s="493">
        <v>196</v>
      </c>
      <c r="N77" s="492">
        <f t="shared" si="43"/>
        <v>915</v>
      </c>
      <c r="O77" s="494">
        <v>176</v>
      </c>
      <c r="P77" s="494">
        <v>154</v>
      </c>
      <c r="Q77" s="494">
        <v>187</v>
      </c>
      <c r="R77" s="494">
        <v>232</v>
      </c>
      <c r="S77" s="494">
        <v>211</v>
      </c>
      <c r="T77" s="492">
        <f t="shared" si="44"/>
        <v>960</v>
      </c>
      <c r="U77" s="493"/>
      <c r="V77" s="495"/>
      <c r="W77" s="495"/>
      <c r="X77" s="495"/>
      <c r="Y77" s="495"/>
      <c r="Z77" s="492">
        <f t="shared" si="45"/>
        <v>0</v>
      </c>
      <c r="AA77" s="570">
        <v>187</v>
      </c>
      <c r="AB77" s="570">
        <v>148</v>
      </c>
      <c r="AC77" s="570">
        <v>161</v>
      </c>
      <c r="AD77" s="570">
        <v>204</v>
      </c>
      <c r="AE77" s="570">
        <v>154</v>
      </c>
      <c r="AF77" s="492">
        <f t="shared" si="46"/>
        <v>854</v>
      </c>
      <c r="AG77" s="655">
        <v>167</v>
      </c>
      <c r="AH77" s="655">
        <v>160</v>
      </c>
      <c r="AI77" s="655">
        <v>167</v>
      </c>
      <c r="AJ77" s="655">
        <v>203</v>
      </c>
      <c r="AK77" s="655">
        <v>192</v>
      </c>
      <c r="AL77" s="492">
        <f t="shared" si="47"/>
        <v>889</v>
      </c>
      <c r="AM77" s="45">
        <v>161</v>
      </c>
      <c r="AN77" s="45">
        <v>210</v>
      </c>
      <c r="AO77" s="45">
        <v>158</v>
      </c>
      <c r="AP77" s="45">
        <v>174</v>
      </c>
      <c r="AQ77" s="45">
        <v>147</v>
      </c>
      <c r="AR77" s="492">
        <f t="shared" si="48"/>
        <v>850</v>
      </c>
      <c r="AS77" s="28">
        <f t="shared" si="49"/>
        <v>5212</v>
      </c>
      <c r="AT77" s="29">
        <f t="shared" si="50"/>
        <v>30</v>
      </c>
      <c r="AU77" s="588">
        <f t="shared" si="51"/>
        <v>173.73333333333332</v>
      </c>
    </row>
    <row r="78" spans="1:47" s="30" customFormat="1" ht="15">
      <c r="A78" s="478" t="s">
        <v>0</v>
      </c>
      <c r="B78" s="418" t="s">
        <v>46</v>
      </c>
      <c r="C78" s="177">
        <v>137</v>
      </c>
      <c r="D78" s="177">
        <v>116</v>
      </c>
      <c r="E78" s="177">
        <v>134</v>
      </c>
      <c r="F78" s="177">
        <v>122</v>
      </c>
      <c r="G78" s="177">
        <v>122</v>
      </c>
      <c r="H78" s="492">
        <f t="shared" si="42"/>
        <v>631</v>
      </c>
      <c r="I78" s="493">
        <v>187</v>
      </c>
      <c r="J78" s="493">
        <v>86</v>
      </c>
      <c r="K78" s="493">
        <v>115</v>
      </c>
      <c r="L78" s="493">
        <v>147</v>
      </c>
      <c r="M78" s="493">
        <v>130</v>
      </c>
      <c r="N78" s="492">
        <f t="shared" si="43"/>
        <v>665</v>
      </c>
      <c r="O78" s="494">
        <v>141</v>
      </c>
      <c r="P78" s="494">
        <v>139</v>
      </c>
      <c r="Q78" s="494">
        <v>187</v>
      </c>
      <c r="R78" s="494">
        <v>103</v>
      </c>
      <c r="S78" s="494">
        <v>110</v>
      </c>
      <c r="T78" s="492">
        <f t="shared" si="44"/>
        <v>680</v>
      </c>
      <c r="U78" s="493">
        <v>111</v>
      </c>
      <c r="V78" s="493">
        <v>137</v>
      </c>
      <c r="W78" s="493">
        <v>181</v>
      </c>
      <c r="X78" s="493">
        <v>186</v>
      </c>
      <c r="Y78" s="493">
        <v>146</v>
      </c>
      <c r="Z78" s="492">
        <f t="shared" si="45"/>
        <v>761</v>
      </c>
      <c r="AA78" s="570">
        <v>113</v>
      </c>
      <c r="AB78" s="570">
        <v>157</v>
      </c>
      <c r="AC78" s="570">
        <v>134</v>
      </c>
      <c r="AD78" s="570">
        <v>167</v>
      </c>
      <c r="AE78" s="570">
        <v>151</v>
      </c>
      <c r="AF78" s="492">
        <f t="shared" si="46"/>
        <v>722</v>
      </c>
      <c r="AG78" s="655">
        <v>129</v>
      </c>
      <c r="AH78" s="655">
        <v>113</v>
      </c>
      <c r="AI78" s="655">
        <v>121</v>
      </c>
      <c r="AJ78" s="655">
        <v>139</v>
      </c>
      <c r="AK78" s="655">
        <v>110</v>
      </c>
      <c r="AL78" s="492">
        <f t="shared" si="47"/>
        <v>612</v>
      </c>
      <c r="AM78" s="45">
        <v>120</v>
      </c>
      <c r="AN78" s="45">
        <v>154</v>
      </c>
      <c r="AO78" s="45">
        <v>132</v>
      </c>
      <c r="AP78" s="45">
        <v>130</v>
      </c>
      <c r="AQ78" s="45">
        <v>122</v>
      </c>
      <c r="AR78" s="492">
        <f t="shared" si="48"/>
        <v>658</v>
      </c>
      <c r="AS78" s="28">
        <f t="shared" si="49"/>
        <v>4729</v>
      </c>
      <c r="AT78" s="29">
        <f t="shared" si="50"/>
        <v>35</v>
      </c>
      <c r="AU78" s="588">
        <f t="shared" si="51"/>
        <v>135.11428571428573</v>
      </c>
    </row>
    <row r="79" spans="1:47" s="30" customFormat="1" ht="15">
      <c r="A79" s="478" t="s">
        <v>0</v>
      </c>
      <c r="B79" s="419" t="s">
        <v>13</v>
      </c>
      <c r="C79" s="177">
        <v>103</v>
      </c>
      <c r="D79" s="177">
        <v>134</v>
      </c>
      <c r="E79" s="177">
        <v>160</v>
      </c>
      <c r="F79" s="177">
        <v>121</v>
      </c>
      <c r="G79" s="177">
        <v>135</v>
      </c>
      <c r="H79" s="492">
        <f t="shared" si="42"/>
        <v>653</v>
      </c>
      <c r="I79" s="493">
        <v>107</v>
      </c>
      <c r="J79" s="493">
        <v>124</v>
      </c>
      <c r="K79" s="493">
        <v>136</v>
      </c>
      <c r="L79" s="493">
        <v>110</v>
      </c>
      <c r="M79" s="493">
        <v>131</v>
      </c>
      <c r="N79" s="492">
        <f t="shared" si="43"/>
        <v>608</v>
      </c>
      <c r="O79" s="498"/>
      <c r="P79" s="498"/>
      <c r="Q79" s="498"/>
      <c r="R79" s="498"/>
      <c r="S79" s="498"/>
      <c r="T79" s="492">
        <f t="shared" si="44"/>
        <v>0</v>
      </c>
      <c r="U79" s="493"/>
      <c r="V79" s="495"/>
      <c r="W79" s="495"/>
      <c r="X79" s="495"/>
      <c r="Y79" s="495"/>
      <c r="Z79" s="492">
        <f t="shared" si="45"/>
        <v>0</v>
      </c>
      <c r="AA79" s="562"/>
      <c r="AB79" s="562"/>
      <c r="AC79" s="562"/>
      <c r="AD79" s="562"/>
      <c r="AE79" s="562"/>
      <c r="AF79" s="492">
        <f t="shared" si="46"/>
        <v>0</v>
      </c>
      <c r="AG79" s="496"/>
      <c r="AH79" s="496"/>
      <c r="AI79" s="496"/>
      <c r="AJ79" s="496"/>
      <c r="AK79" s="496"/>
      <c r="AL79" s="492">
        <f t="shared" si="47"/>
        <v>0</v>
      </c>
      <c r="AM79" s="829"/>
      <c r="AN79" s="829"/>
      <c r="AO79" s="829"/>
      <c r="AP79" s="829"/>
      <c r="AQ79" s="829"/>
      <c r="AR79" s="492">
        <f t="shared" si="48"/>
        <v>0</v>
      </c>
      <c r="AS79" s="28">
        <f t="shared" si="49"/>
        <v>1261</v>
      </c>
      <c r="AT79" s="29">
        <f t="shared" si="50"/>
        <v>10</v>
      </c>
      <c r="AU79" s="588">
        <f t="shared" si="51"/>
        <v>126.1</v>
      </c>
    </row>
    <row r="80" spans="1:47" s="30" customFormat="1" ht="15">
      <c r="A80" s="478" t="s">
        <v>0</v>
      </c>
      <c r="B80" s="418" t="s">
        <v>78</v>
      </c>
      <c r="C80" s="177">
        <v>134</v>
      </c>
      <c r="D80" s="177">
        <v>135</v>
      </c>
      <c r="E80" s="177">
        <v>139</v>
      </c>
      <c r="F80" s="177">
        <v>172</v>
      </c>
      <c r="G80" s="177">
        <v>140</v>
      </c>
      <c r="H80" s="492">
        <f t="shared" si="42"/>
        <v>720</v>
      </c>
      <c r="I80" s="493">
        <v>147</v>
      </c>
      <c r="J80" s="493">
        <v>177</v>
      </c>
      <c r="K80" s="493">
        <v>112</v>
      </c>
      <c r="L80" s="493">
        <v>127</v>
      </c>
      <c r="M80" s="493">
        <v>130</v>
      </c>
      <c r="N80" s="492">
        <f t="shared" si="43"/>
        <v>693</v>
      </c>
      <c r="O80" s="494">
        <v>126</v>
      </c>
      <c r="P80" s="494">
        <v>152</v>
      </c>
      <c r="Q80" s="494">
        <v>146</v>
      </c>
      <c r="R80" s="494">
        <v>159</v>
      </c>
      <c r="S80" s="494">
        <v>144</v>
      </c>
      <c r="T80" s="492">
        <f t="shared" si="44"/>
        <v>727</v>
      </c>
      <c r="U80" s="493">
        <v>166</v>
      </c>
      <c r="V80" s="493">
        <v>170</v>
      </c>
      <c r="W80" s="493">
        <v>161</v>
      </c>
      <c r="X80" s="493">
        <v>186</v>
      </c>
      <c r="Y80" s="493">
        <v>159</v>
      </c>
      <c r="Z80" s="492">
        <f t="shared" si="45"/>
        <v>842</v>
      </c>
      <c r="AA80" s="570">
        <v>126</v>
      </c>
      <c r="AB80" s="570">
        <v>149</v>
      </c>
      <c r="AC80" s="570">
        <v>102</v>
      </c>
      <c r="AD80" s="570">
        <v>161</v>
      </c>
      <c r="AE80" s="570">
        <v>130</v>
      </c>
      <c r="AF80" s="492">
        <f t="shared" si="46"/>
        <v>668</v>
      </c>
      <c r="AG80" s="497"/>
      <c r="AH80" s="497"/>
      <c r="AI80" s="497"/>
      <c r="AJ80" s="497"/>
      <c r="AK80" s="497"/>
      <c r="AL80" s="492">
        <f t="shared" si="47"/>
        <v>0</v>
      </c>
      <c r="AM80" s="45">
        <v>162</v>
      </c>
      <c r="AN80" s="45">
        <v>146</v>
      </c>
      <c r="AO80" s="45">
        <v>143</v>
      </c>
      <c r="AP80" s="45">
        <v>148</v>
      </c>
      <c r="AQ80" s="45">
        <v>156</v>
      </c>
      <c r="AR80" s="492">
        <f t="shared" si="48"/>
        <v>755</v>
      </c>
      <c r="AS80" s="28">
        <f t="shared" si="49"/>
        <v>4405</v>
      </c>
      <c r="AT80" s="29">
        <f t="shared" si="50"/>
        <v>30</v>
      </c>
      <c r="AU80" s="588">
        <f t="shared" si="51"/>
        <v>146.83333333333334</v>
      </c>
    </row>
    <row r="81" spans="1:47" s="30" customFormat="1" ht="15">
      <c r="A81" s="478" t="s">
        <v>0</v>
      </c>
      <c r="B81" s="418" t="s">
        <v>8</v>
      </c>
      <c r="C81" s="177">
        <v>143</v>
      </c>
      <c r="D81" s="177">
        <v>117</v>
      </c>
      <c r="E81" s="177">
        <v>137</v>
      </c>
      <c r="F81" s="177">
        <v>138</v>
      </c>
      <c r="G81" s="177">
        <v>129</v>
      </c>
      <c r="H81" s="492">
        <f t="shared" si="42"/>
        <v>664</v>
      </c>
      <c r="I81" s="493">
        <v>115</v>
      </c>
      <c r="J81" s="493">
        <v>96</v>
      </c>
      <c r="K81" s="493">
        <v>134</v>
      </c>
      <c r="L81" s="493">
        <v>120</v>
      </c>
      <c r="M81" s="493">
        <v>131</v>
      </c>
      <c r="N81" s="492">
        <f t="shared" si="43"/>
        <v>596</v>
      </c>
      <c r="O81" s="494">
        <v>201</v>
      </c>
      <c r="P81" s="494">
        <v>153</v>
      </c>
      <c r="Q81" s="494">
        <v>168</v>
      </c>
      <c r="R81" s="494">
        <v>197</v>
      </c>
      <c r="S81" s="494">
        <v>119</v>
      </c>
      <c r="T81" s="492">
        <f t="shared" si="44"/>
        <v>838</v>
      </c>
      <c r="U81" s="493">
        <v>124</v>
      </c>
      <c r="V81" s="493">
        <v>169</v>
      </c>
      <c r="W81" s="493">
        <v>137</v>
      </c>
      <c r="X81" s="493">
        <v>193</v>
      </c>
      <c r="Y81" s="493">
        <v>150</v>
      </c>
      <c r="Z81" s="492">
        <f t="shared" si="45"/>
        <v>773</v>
      </c>
      <c r="AA81" s="570">
        <v>138</v>
      </c>
      <c r="AB81" s="570">
        <v>127</v>
      </c>
      <c r="AC81" s="570">
        <v>110</v>
      </c>
      <c r="AD81" s="570">
        <v>114</v>
      </c>
      <c r="AE81" s="570">
        <v>141</v>
      </c>
      <c r="AF81" s="492">
        <f t="shared" si="46"/>
        <v>630</v>
      </c>
      <c r="AG81" s="655">
        <v>127</v>
      </c>
      <c r="AH81" s="655">
        <v>139</v>
      </c>
      <c r="AI81" s="655">
        <v>146</v>
      </c>
      <c r="AJ81" s="655">
        <v>120</v>
      </c>
      <c r="AK81" s="655">
        <v>141</v>
      </c>
      <c r="AL81" s="492">
        <f t="shared" si="47"/>
        <v>673</v>
      </c>
      <c r="AM81" s="45">
        <v>99</v>
      </c>
      <c r="AN81" s="45">
        <v>160</v>
      </c>
      <c r="AO81" s="45">
        <v>127</v>
      </c>
      <c r="AP81" s="45">
        <v>124</v>
      </c>
      <c r="AQ81" s="45">
        <v>118</v>
      </c>
      <c r="AR81" s="492">
        <f t="shared" si="48"/>
        <v>628</v>
      </c>
      <c r="AS81" s="28">
        <f t="shared" si="49"/>
        <v>4802</v>
      </c>
      <c r="AT81" s="29">
        <f t="shared" si="50"/>
        <v>35</v>
      </c>
      <c r="AU81" s="588">
        <f t="shared" si="51"/>
        <v>137.19999999999999</v>
      </c>
    </row>
    <row r="82" spans="1:47" s="30" customFormat="1" ht="15">
      <c r="A82" s="478" t="s">
        <v>0</v>
      </c>
      <c r="B82" s="418" t="s">
        <v>42</v>
      </c>
      <c r="C82" s="51"/>
      <c r="D82" s="51"/>
      <c r="E82" s="51"/>
      <c r="F82" s="51"/>
      <c r="G82" s="61"/>
      <c r="H82" s="492">
        <f t="shared" si="42"/>
        <v>0</v>
      </c>
      <c r="I82" s="501"/>
      <c r="J82" s="501"/>
      <c r="K82" s="501"/>
      <c r="L82" s="501"/>
      <c r="M82" s="501"/>
      <c r="N82" s="492">
        <f t="shared" si="43"/>
        <v>0</v>
      </c>
      <c r="O82" s="498"/>
      <c r="P82" s="498"/>
      <c r="Q82" s="498"/>
      <c r="R82" s="498"/>
      <c r="S82" s="498"/>
      <c r="T82" s="492">
        <f t="shared" si="44"/>
        <v>0</v>
      </c>
      <c r="U82" s="493">
        <v>136</v>
      </c>
      <c r="V82" s="493">
        <v>140</v>
      </c>
      <c r="W82" s="493">
        <v>136</v>
      </c>
      <c r="X82" s="493">
        <v>118</v>
      </c>
      <c r="Y82" s="493">
        <v>151</v>
      </c>
      <c r="Z82" s="492">
        <f t="shared" si="45"/>
        <v>681</v>
      </c>
      <c r="AA82" s="562"/>
      <c r="AB82" s="562"/>
      <c r="AC82" s="562"/>
      <c r="AD82" s="562"/>
      <c r="AE82" s="562"/>
      <c r="AF82" s="492">
        <f t="shared" si="46"/>
        <v>0</v>
      </c>
      <c r="AG82" s="496"/>
      <c r="AH82" s="496"/>
      <c r="AI82" s="496"/>
      <c r="AJ82" s="496"/>
      <c r="AK82" s="496"/>
      <c r="AL82" s="492">
        <f t="shared" si="47"/>
        <v>0</v>
      </c>
      <c r="AM82" s="829"/>
      <c r="AN82" s="829"/>
      <c r="AO82" s="829"/>
      <c r="AP82" s="829"/>
      <c r="AQ82" s="829"/>
      <c r="AR82" s="492">
        <f t="shared" si="48"/>
        <v>0</v>
      </c>
      <c r="AS82" s="28">
        <f t="shared" si="49"/>
        <v>681</v>
      </c>
      <c r="AT82" s="29">
        <f t="shared" si="50"/>
        <v>5</v>
      </c>
      <c r="AU82" s="588">
        <f t="shared" si="51"/>
        <v>136.19999999999999</v>
      </c>
    </row>
    <row r="83" spans="1:47" s="30" customFormat="1" ht="15">
      <c r="A83" s="478" t="s">
        <v>0</v>
      </c>
      <c r="B83" s="418" t="s">
        <v>34</v>
      </c>
      <c r="C83" s="177">
        <v>144</v>
      </c>
      <c r="D83" s="177">
        <v>169</v>
      </c>
      <c r="E83" s="177">
        <v>188</v>
      </c>
      <c r="F83" s="177">
        <v>124</v>
      </c>
      <c r="G83" s="177">
        <v>161</v>
      </c>
      <c r="H83" s="492">
        <f t="shared" si="42"/>
        <v>786</v>
      </c>
      <c r="I83" s="493">
        <v>207</v>
      </c>
      <c r="J83" s="493">
        <v>115</v>
      </c>
      <c r="K83" s="493">
        <v>170</v>
      </c>
      <c r="L83" s="493">
        <v>136</v>
      </c>
      <c r="M83" s="493">
        <v>178</v>
      </c>
      <c r="N83" s="492">
        <f t="shared" si="43"/>
        <v>806</v>
      </c>
      <c r="O83" s="494">
        <v>142</v>
      </c>
      <c r="P83" s="494">
        <v>141</v>
      </c>
      <c r="Q83" s="494">
        <v>139</v>
      </c>
      <c r="R83" s="494">
        <v>151</v>
      </c>
      <c r="S83" s="494">
        <v>169</v>
      </c>
      <c r="T83" s="492">
        <f t="shared" si="44"/>
        <v>742</v>
      </c>
      <c r="U83" s="493">
        <v>146</v>
      </c>
      <c r="V83" s="493">
        <v>218</v>
      </c>
      <c r="W83" s="493">
        <v>142</v>
      </c>
      <c r="X83" s="493">
        <v>138</v>
      </c>
      <c r="Y83" s="493">
        <v>147</v>
      </c>
      <c r="Z83" s="492">
        <f t="shared" si="45"/>
        <v>791</v>
      </c>
      <c r="AA83" s="570">
        <v>183</v>
      </c>
      <c r="AB83" s="570">
        <v>162</v>
      </c>
      <c r="AC83" s="570">
        <v>146</v>
      </c>
      <c r="AD83" s="570">
        <v>168</v>
      </c>
      <c r="AE83" s="570">
        <v>143</v>
      </c>
      <c r="AF83" s="492">
        <f t="shared" si="46"/>
        <v>802</v>
      </c>
      <c r="AG83" s="655">
        <v>132</v>
      </c>
      <c r="AH83" s="655">
        <v>147</v>
      </c>
      <c r="AI83" s="655">
        <v>147</v>
      </c>
      <c r="AJ83" s="655">
        <v>163</v>
      </c>
      <c r="AK83" s="655">
        <v>139</v>
      </c>
      <c r="AL83" s="492">
        <f t="shared" si="47"/>
        <v>728</v>
      </c>
      <c r="AM83" s="45">
        <v>183</v>
      </c>
      <c r="AN83" s="45">
        <v>168</v>
      </c>
      <c r="AO83" s="45">
        <v>178</v>
      </c>
      <c r="AP83" s="45">
        <v>142</v>
      </c>
      <c r="AQ83" s="45">
        <v>125</v>
      </c>
      <c r="AR83" s="492">
        <f t="shared" si="48"/>
        <v>796</v>
      </c>
      <c r="AS83" s="28">
        <f t="shared" si="49"/>
        <v>5451</v>
      </c>
      <c r="AT83" s="29">
        <f t="shared" si="50"/>
        <v>35</v>
      </c>
      <c r="AU83" s="588">
        <f t="shared" si="51"/>
        <v>155.74285714285713</v>
      </c>
    </row>
    <row r="84" spans="1:47" s="30" customFormat="1" ht="15">
      <c r="A84" s="478" t="s">
        <v>0</v>
      </c>
      <c r="B84" s="418" t="s">
        <v>35</v>
      </c>
      <c r="C84" s="177">
        <v>171</v>
      </c>
      <c r="D84" s="177">
        <v>125</v>
      </c>
      <c r="E84" s="177">
        <v>154</v>
      </c>
      <c r="F84" s="177">
        <v>156</v>
      </c>
      <c r="G84" s="177">
        <v>171</v>
      </c>
      <c r="H84" s="492">
        <f t="shared" si="42"/>
        <v>777</v>
      </c>
      <c r="I84" s="493">
        <v>154</v>
      </c>
      <c r="J84" s="493">
        <v>149</v>
      </c>
      <c r="K84" s="493">
        <v>143</v>
      </c>
      <c r="L84" s="493">
        <v>134</v>
      </c>
      <c r="M84" s="493">
        <v>121</v>
      </c>
      <c r="N84" s="492">
        <f t="shared" si="43"/>
        <v>701</v>
      </c>
      <c r="O84" s="494">
        <v>116</v>
      </c>
      <c r="P84" s="494">
        <v>202</v>
      </c>
      <c r="Q84" s="494">
        <v>152</v>
      </c>
      <c r="R84" s="494">
        <v>133</v>
      </c>
      <c r="S84" s="494">
        <v>167</v>
      </c>
      <c r="T84" s="492">
        <f t="shared" si="44"/>
        <v>770</v>
      </c>
      <c r="U84" s="493">
        <v>161</v>
      </c>
      <c r="V84" s="493">
        <v>148</v>
      </c>
      <c r="W84" s="493">
        <v>131</v>
      </c>
      <c r="X84" s="493">
        <v>148</v>
      </c>
      <c r="Y84" s="493">
        <v>150</v>
      </c>
      <c r="Z84" s="492">
        <f t="shared" si="45"/>
        <v>738</v>
      </c>
      <c r="AA84" s="570">
        <v>161</v>
      </c>
      <c r="AB84" s="570">
        <v>176</v>
      </c>
      <c r="AC84" s="570">
        <v>186</v>
      </c>
      <c r="AD84" s="570">
        <v>107</v>
      </c>
      <c r="AE84" s="570">
        <v>146</v>
      </c>
      <c r="AF84" s="492">
        <f t="shared" si="46"/>
        <v>776</v>
      </c>
      <c r="AG84" s="655">
        <v>188</v>
      </c>
      <c r="AH84" s="655">
        <v>162</v>
      </c>
      <c r="AI84" s="655">
        <v>127</v>
      </c>
      <c r="AJ84" s="655">
        <v>195</v>
      </c>
      <c r="AK84" s="655">
        <v>142</v>
      </c>
      <c r="AL84" s="492">
        <f t="shared" si="47"/>
        <v>814</v>
      </c>
      <c r="AM84" s="45">
        <v>116</v>
      </c>
      <c r="AN84" s="45">
        <v>156</v>
      </c>
      <c r="AO84" s="45">
        <v>132</v>
      </c>
      <c r="AP84" s="45">
        <v>170</v>
      </c>
      <c r="AQ84" s="45">
        <v>148</v>
      </c>
      <c r="AR84" s="492">
        <f t="shared" si="48"/>
        <v>722</v>
      </c>
      <c r="AS84" s="28">
        <f t="shared" si="49"/>
        <v>5298</v>
      </c>
      <c r="AT84" s="29">
        <f t="shared" si="50"/>
        <v>35</v>
      </c>
      <c r="AU84" s="588">
        <f t="shared" si="51"/>
        <v>151.37142857142857</v>
      </c>
    </row>
    <row r="85" spans="1:47" s="30" customFormat="1" ht="15">
      <c r="A85" s="478" t="s">
        <v>0</v>
      </c>
      <c r="B85" s="418" t="s">
        <v>61</v>
      </c>
      <c r="C85" s="177">
        <v>134</v>
      </c>
      <c r="D85" s="177">
        <v>157</v>
      </c>
      <c r="E85" s="177">
        <v>147</v>
      </c>
      <c r="F85" s="177">
        <v>133</v>
      </c>
      <c r="G85" s="177">
        <v>134</v>
      </c>
      <c r="H85" s="492">
        <f t="shared" si="42"/>
        <v>705</v>
      </c>
      <c r="I85" s="493">
        <v>121</v>
      </c>
      <c r="J85" s="493">
        <v>129</v>
      </c>
      <c r="K85" s="493">
        <v>114</v>
      </c>
      <c r="L85" s="493">
        <v>123</v>
      </c>
      <c r="M85" s="493">
        <v>149</v>
      </c>
      <c r="N85" s="492">
        <f t="shared" si="43"/>
        <v>636</v>
      </c>
      <c r="O85" s="494">
        <v>118</v>
      </c>
      <c r="P85" s="494">
        <v>123</v>
      </c>
      <c r="Q85" s="494">
        <v>124</v>
      </c>
      <c r="R85" s="494">
        <v>180</v>
      </c>
      <c r="S85" s="494">
        <v>166</v>
      </c>
      <c r="T85" s="492">
        <f t="shared" si="44"/>
        <v>711</v>
      </c>
      <c r="U85" s="493">
        <v>119</v>
      </c>
      <c r="V85" s="493">
        <v>110</v>
      </c>
      <c r="W85" s="493">
        <v>122</v>
      </c>
      <c r="X85" s="493">
        <v>144</v>
      </c>
      <c r="Y85" s="493">
        <v>123</v>
      </c>
      <c r="Z85" s="492">
        <f t="shared" si="45"/>
        <v>618</v>
      </c>
      <c r="AA85" s="562"/>
      <c r="AB85" s="562"/>
      <c r="AC85" s="562"/>
      <c r="AD85" s="562"/>
      <c r="AE85" s="562"/>
      <c r="AF85" s="492">
        <f t="shared" si="46"/>
        <v>0</v>
      </c>
      <c r="AG85" s="655">
        <v>131</v>
      </c>
      <c r="AH85" s="655">
        <v>103</v>
      </c>
      <c r="AI85" s="655">
        <v>138</v>
      </c>
      <c r="AJ85" s="655">
        <v>93</v>
      </c>
      <c r="AK85" s="655">
        <v>132</v>
      </c>
      <c r="AL85" s="492">
        <f t="shared" si="47"/>
        <v>597</v>
      </c>
      <c r="AM85" s="829"/>
      <c r="AN85" s="829"/>
      <c r="AO85" s="829"/>
      <c r="AP85" s="829"/>
      <c r="AQ85" s="829"/>
      <c r="AR85" s="492">
        <f t="shared" si="48"/>
        <v>0</v>
      </c>
      <c r="AS85" s="28">
        <f t="shared" si="49"/>
        <v>3267</v>
      </c>
      <c r="AT85" s="29">
        <f t="shared" si="50"/>
        <v>25</v>
      </c>
      <c r="AU85" s="588">
        <f t="shared" si="51"/>
        <v>130.68</v>
      </c>
    </row>
    <row r="86" spans="1:47" s="30" customFormat="1" ht="15">
      <c r="A86" s="478" t="s">
        <v>0</v>
      </c>
      <c r="B86" s="420" t="s">
        <v>19</v>
      </c>
      <c r="C86" s="177">
        <v>116</v>
      </c>
      <c r="D86" s="177">
        <v>130</v>
      </c>
      <c r="E86" s="177">
        <v>127</v>
      </c>
      <c r="F86" s="177">
        <v>88</v>
      </c>
      <c r="G86" s="177">
        <v>111</v>
      </c>
      <c r="H86" s="492">
        <f t="shared" si="42"/>
        <v>572</v>
      </c>
      <c r="I86" s="493">
        <v>128</v>
      </c>
      <c r="J86" s="493">
        <v>88</v>
      </c>
      <c r="K86" s="493">
        <v>84</v>
      </c>
      <c r="L86" s="493">
        <v>145</v>
      </c>
      <c r="M86" s="493">
        <v>103</v>
      </c>
      <c r="N86" s="492">
        <f t="shared" si="43"/>
        <v>548</v>
      </c>
      <c r="O86" s="494">
        <v>115</v>
      </c>
      <c r="P86" s="494">
        <v>126</v>
      </c>
      <c r="Q86" s="494">
        <v>98</v>
      </c>
      <c r="R86" s="494">
        <v>99</v>
      </c>
      <c r="S86" s="494">
        <v>98</v>
      </c>
      <c r="T86" s="492">
        <f t="shared" si="44"/>
        <v>536</v>
      </c>
      <c r="U86" s="493">
        <v>100</v>
      </c>
      <c r="V86" s="493">
        <v>125</v>
      </c>
      <c r="W86" s="493">
        <v>122</v>
      </c>
      <c r="X86" s="493">
        <v>182</v>
      </c>
      <c r="Y86" s="493">
        <v>122</v>
      </c>
      <c r="Z86" s="492">
        <f t="shared" si="45"/>
        <v>651</v>
      </c>
      <c r="AA86" s="570">
        <v>136</v>
      </c>
      <c r="AB86" s="570">
        <v>127</v>
      </c>
      <c r="AC86" s="570">
        <v>106</v>
      </c>
      <c r="AD86" s="570">
        <v>131</v>
      </c>
      <c r="AE86" s="570">
        <v>119</v>
      </c>
      <c r="AF86" s="492">
        <f t="shared" si="46"/>
        <v>619</v>
      </c>
      <c r="AG86" s="655">
        <v>116</v>
      </c>
      <c r="AH86" s="655">
        <v>111</v>
      </c>
      <c r="AI86" s="655">
        <v>131</v>
      </c>
      <c r="AJ86" s="655">
        <v>120</v>
      </c>
      <c r="AK86" s="655">
        <v>148</v>
      </c>
      <c r="AL86" s="492">
        <f t="shared" si="47"/>
        <v>626</v>
      </c>
      <c r="AM86" s="45">
        <v>161</v>
      </c>
      <c r="AN86" s="45">
        <v>107</v>
      </c>
      <c r="AO86" s="45">
        <v>114</v>
      </c>
      <c r="AP86" s="45">
        <v>132</v>
      </c>
      <c r="AQ86" s="45">
        <v>130</v>
      </c>
      <c r="AR86" s="492">
        <f t="shared" si="48"/>
        <v>644</v>
      </c>
      <c r="AS86" s="28">
        <f t="shared" ref="AS86:AS91" si="52">SUM(N86,H86,T86,Z86,AF86,AL86,AR86)</f>
        <v>4196</v>
      </c>
      <c r="AT86" s="29">
        <f t="shared" ref="AT86:AT91" si="53">COUNT(C86:G86,I86:M86,O86:S86,U86:Y86,AA86:AE86,AG86:AK86,AM86:AQ86)</f>
        <v>35</v>
      </c>
      <c r="AU86" s="588">
        <f t="shared" ref="AU86:AU91" si="54">IF(AT86=0,"",AS86/AT86)</f>
        <v>119.88571428571429</v>
      </c>
    </row>
    <row r="87" spans="1:47" s="30" customFormat="1" ht="15">
      <c r="A87" s="478" t="s">
        <v>0</v>
      </c>
      <c r="B87" s="422" t="s">
        <v>283</v>
      </c>
      <c r="C87" s="45"/>
      <c r="D87" s="45"/>
      <c r="E87" s="45"/>
      <c r="F87" s="45"/>
      <c r="G87" s="46"/>
      <c r="H87" s="492">
        <f t="shared" si="42"/>
        <v>0</v>
      </c>
      <c r="I87" s="493"/>
      <c r="J87" s="493"/>
      <c r="K87" s="493"/>
      <c r="L87" s="493"/>
      <c r="M87" s="493"/>
      <c r="N87" s="492">
        <f t="shared" si="43"/>
        <v>0</v>
      </c>
      <c r="O87" s="498"/>
      <c r="P87" s="498"/>
      <c r="Q87" s="498"/>
      <c r="R87" s="498"/>
      <c r="S87" s="498"/>
      <c r="T87" s="492">
        <f t="shared" ref="T87:T92" si="55">SUM(O87+P87+Q87+R87+S87)</f>
        <v>0</v>
      </c>
      <c r="U87" s="493"/>
      <c r="V87" s="495"/>
      <c r="W87" s="495"/>
      <c r="X87" s="495"/>
      <c r="Y87" s="495"/>
      <c r="Z87" s="492">
        <f t="shared" ref="Z87:Z92" si="56">SUM(U87+V87+W87+X87+Y87)</f>
        <v>0</v>
      </c>
      <c r="AA87" s="570">
        <v>140</v>
      </c>
      <c r="AB87" s="570">
        <v>112</v>
      </c>
      <c r="AC87" s="570">
        <v>100</v>
      </c>
      <c r="AD87" s="570">
        <v>79</v>
      </c>
      <c r="AE87" s="570">
        <v>93</v>
      </c>
      <c r="AF87" s="492">
        <f t="shared" ref="AF87:AF92" si="57">SUM(AA87+AB87+AC87+AD87+AE87)</f>
        <v>524</v>
      </c>
      <c r="AG87" s="496"/>
      <c r="AH87" s="496"/>
      <c r="AI87" s="496"/>
      <c r="AJ87" s="496"/>
      <c r="AK87" s="496"/>
      <c r="AL87" s="492">
        <f t="shared" ref="AL87:AL92" si="58">SUM(AG87+AH87+AI87+AJ87+AK87)</f>
        <v>0</v>
      </c>
      <c r="AM87" s="829"/>
      <c r="AN87" s="829"/>
      <c r="AO87" s="829"/>
      <c r="AP87" s="829"/>
      <c r="AQ87" s="829"/>
      <c r="AR87" s="492">
        <f t="shared" ref="AR87:AR92" si="59">SUM(AM87+AN87+AO87+AP87+AQ87)</f>
        <v>0</v>
      </c>
      <c r="AS87" s="28">
        <f t="shared" si="52"/>
        <v>524</v>
      </c>
      <c r="AT87" s="29">
        <f t="shared" si="53"/>
        <v>5</v>
      </c>
      <c r="AU87" s="588">
        <f t="shared" si="54"/>
        <v>104.8</v>
      </c>
    </row>
    <row r="88" spans="1:47" s="30" customFormat="1" ht="15">
      <c r="A88" s="478" t="s">
        <v>0</v>
      </c>
      <c r="B88" s="422" t="s">
        <v>244</v>
      </c>
      <c r="C88" s="45"/>
      <c r="D88" s="45"/>
      <c r="E88" s="45"/>
      <c r="F88" s="45"/>
      <c r="G88" s="46"/>
      <c r="H88" s="492">
        <f t="shared" si="42"/>
        <v>0</v>
      </c>
      <c r="I88" s="493"/>
      <c r="J88" s="493"/>
      <c r="K88" s="493"/>
      <c r="L88" s="493"/>
      <c r="M88" s="493"/>
      <c r="N88" s="492">
        <f t="shared" si="43"/>
        <v>0</v>
      </c>
      <c r="O88" s="494">
        <v>138</v>
      </c>
      <c r="P88" s="494">
        <v>145</v>
      </c>
      <c r="Q88" s="494">
        <v>162</v>
      </c>
      <c r="R88" s="494">
        <v>140</v>
      </c>
      <c r="S88" s="494">
        <v>135</v>
      </c>
      <c r="T88" s="492">
        <f t="shared" si="55"/>
        <v>720</v>
      </c>
      <c r="U88" s="493"/>
      <c r="V88" s="495"/>
      <c r="W88" s="495"/>
      <c r="X88" s="495"/>
      <c r="Y88" s="495"/>
      <c r="Z88" s="492">
        <f t="shared" si="56"/>
        <v>0</v>
      </c>
      <c r="AA88" s="562"/>
      <c r="AB88" s="562"/>
      <c r="AC88" s="562"/>
      <c r="AD88" s="562"/>
      <c r="AE88" s="562"/>
      <c r="AF88" s="492">
        <f t="shared" si="57"/>
        <v>0</v>
      </c>
      <c r="AG88" s="655">
        <v>161</v>
      </c>
      <c r="AH88" s="655">
        <v>160</v>
      </c>
      <c r="AI88" s="655">
        <v>150</v>
      </c>
      <c r="AJ88" s="655">
        <v>151</v>
      </c>
      <c r="AK88" s="655">
        <v>156</v>
      </c>
      <c r="AL88" s="492">
        <f t="shared" si="58"/>
        <v>778</v>
      </c>
      <c r="AM88" s="45">
        <v>163</v>
      </c>
      <c r="AN88" s="45">
        <v>181</v>
      </c>
      <c r="AO88" s="45">
        <v>199</v>
      </c>
      <c r="AP88" s="45">
        <v>173</v>
      </c>
      <c r="AQ88" s="45">
        <v>177</v>
      </c>
      <c r="AR88" s="492">
        <f t="shared" si="59"/>
        <v>893</v>
      </c>
      <c r="AS88" s="28">
        <f t="shared" si="52"/>
        <v>2391</v>
      </c>
      <c r="AT88" s="29">
        <f t="shared" si="53"/>
        <v>15</v>
      </c>
      <c r="AU88" s="588">
        <f t="shared" si="54"/>
        <v>159.4</v>
      </c>
    </row>
    <row r="89" spans="1:47" s="30" customFormat="1" ht="15">
      <c r="A89" s="478" t="s">
        <v>0</v>
      </c>
      <c r="B89" s="422" t="s">
        <v>107</v>
      </c>
      <c r="C89" s="45"/>
      <c r="D89" s="45"/>
      <c r="E89" s="45"/>
      <c r="F89" s="45"/>
      <c r="G89" s="46"/>
      <c r="H89" s="492">
        <f t="shared" si="42"/>
        <v>0</v>
      </c>
      <c r="I89" s="493"/>
      <c r="J89" s="493"/>
      <c r="K89" s="493"/>
      <c r="L89" s="493"/>
      <c r="M89" s="493"/>
      <c r="N89" s="492">
        <f t="shared" si="43"/>
        <v>0</v>
      </c>
      <c r="O89" s="498"/>
      <c r="P89" s="498"/>
      <c r="Q89" s="498"/>
      <c r="R89" s="498"/>
      <c r="S89" s="498"/>
      <c r="T89" s="492">
        <f t="shared" si="55"/>
        <v>0</v>
      </c>
      <c r="U89" s="502"/>
      <c r="V89" s="502"/>
      <c r="W89" s="502"/>
      <c r="X89" s="502"/>
      <c r="Y89" s="502"/>
      <c r="Z89" s="492">
        <f t="shared" si="56"/>
        <v>0</v>
      </c>
      <c r="AA89" s="35"/>
      <c r="AB89" s="35"/>
      <c r="AC89" s="35"/>
      <c r="AD89" s="35"/>
      <c r="AE89" s="35"/>
      <c r="AF89" s="492">
        <f t="shared" si="57"/>
        <v>0</v>
      </c>
      <c r="AG89" s="497"/>
      <c r="AH89" s="497"/>
      <c r="AI89" s="497"/>
      <c r="AJ89" s="497"/>
      <c r="AK89" s="497"/>
      <c r="AL89" s="492">
        <f t="shared" si="58"/>
        <v>0</v>
      </c>
      <c r="AM89" s="829"/>
      <c r="AN89" s="829"/>
      <c r="AO89" s="829"/>
      <c r="AP89" s="829"/>
      <c r="AQ89" s="829"/>
      <c r="AR89" s="492">
        <f t="shared" si="59"/>
        <v>0</v>
      </c>
      <c r="AS89" s="28">
        <f t="shared" si="52"/>
        <v>0</v>
      </c>
      <c r="AT89" s="29">
        <f t="shared" si="53"/>
        <v>0</v>
      </c>
      <c r="AU89" s="588" t="str">
        <f t="shared" si="54"/>
        <v/>
      </c>
    </row>
    <row r="90" spans="1:47" s="30" customFormat="1" ht="15">
      <c r="A90" s="478" t="s">
        <v>0</v>
      </c>
      <c r="B90" s="421" t="s">
        <v>77</v>
      </c>
      <c r="C90" s="45"/>
      <c r="D90" s="45"/>
      <c r="E90" s="45"/>
      <c r="F90" s="45"/>
      <c r="G90" s="46"/>
      <c r="H90" s="492">
        <f t="shared" si="42"/>
        <v>0</v>
      </c>
      <c r="I90" s="493"/>
      <c r="J90" s="493"/>
      <c r="K90" s="493"/>
      <c r="L90" s="493"/>
      <c r="M90" s="493"/>
      <c r="N90" s="492">
        <f t="shared" si="43"/>
        <v>0</v>
      </c>
      <c r="O90" s="498"/>
      <c r="P90" s="498"/>
      <c r="Q90" s="498"/>
      <c r="R90" s="498"/>
      <c r="S90" s="498"/>
      <c r="T90" s="492">
        <f t="shared" si="55"/>
        <v>0</v>
      </c>
      <c r="U90" s="493">
        <v>143</v>
      </c>
      <c r="V90" s="493">
        <v>173</v>
      </c>
      <c r="W90" s="493">
        <v>117</v>
      </c>
      <c r="X90" s="493">
        <v>75</v>
      </c>
      <c r="Y90" s="493">
        <v>111</v>
      </c>
      <c r="Z90" s="492">
        <f t="shared" si="56"/>
        <v>619</v>
      </c>
      <c r="AA90" s="35"/>
      <c r="AB90" s="35"/>
      <c r="AC90" s="35"/>
      <c r="AD90" s="35"/>
      <c r="AE90" s="35"/>
      <c r="AF90" s="492">
        <f t="shared" si="57"/>
        <v>0</v>
      </c>
      <c r="AG90" s="655">
        <v>144</v>
      </c>
      <c r="AH90" s="655">
        <v>112</v>
      </c>
      <c r="AI90" s="655">
        <v>139</v>
      </c>
      <c r="AJ90" s="655">
        <v>100</v>
      </c>
      <c r="AK90" s="655">
        <v>103</v>
      </c>
      <c r="AL90" s="492">
        <f t="shared" si="58"/>
        <v>598</v>
      </c>
      <c r="AM90" s="45">
        <v>121</v>
      </c>
      <c r="AN90" s="45">
        <v>130</v>
      </c>
      <c r="AO90" s="45">
        <v>134</v>
      </c>
      <c r="AP90" s="45">
        <v>87</v>
      </c>
      <c r="AQ90" s="45">
        <v>114</v>
      </c>
      <c r="AR90" s="492">
        <f t="shared" si="59"/>
        <v>586</v>
      </c>
      <c r="AS90" s="28">
        <f t="shared" si="52"/>
        <v>1803</v>
      </c>
      <c r="AT90" s="29">
        <f t="shared" si="53"/>
        <v>15</v>
      </c>
      <c r="AU90" s="588">
        <f t="shared" si="54"/>
        <v>120.2</v>
      </c>
    </row>
    <row r="91" spans="1:47" s="30" customFormat="1" ht="15">
      <c r="A91" s="478" t="s">
        <v>0</v>
      </c>
      <c r="B91" s="418" t="s">
        <v>90</v>
      </c>
      <c r="C91" s="35"/>
      <c r="D91" s="35"/>
      <c r="E91" s="35"/>
      <c r="F91" s="35"/>
      <c r="G91" s="35"/>
      <c r="H91" s="492">
        <f t="shared" si="42"/>
        <v>0</v>
      </c>
      <c r="I91" s="504"/>
      <c r="J91" s="504"/>
      <c r="K91" s="504"/>
      <c r="L91" s="504"/>
      <c r="M91" s="504"/>
      <c r="N91" s="492">
        <f t="shared" si="43"/>
        <v>0</v>
      </c>
      <c r="O91" s="498"/>
      <c r="P91" s="498"/>
      <c r="Q91" s="498"/>
      <c r="R91" s="498"/>
      <c r="S91" s="498"/>
      <c r="T91" s="492">
        <f t="shared" si="55"/>
        <v>0</v>
      </c>
      <c r="U91" s="493"/>
      <c r="V91" s="493"/>
      <c r="W91" s="493"/>
      <c r="X91" s="493"/>
      <c r="Y91" s="493"/>
      <c r="Z91" s="492">
        <f t="shared" si="56"/>
        <v>0</v>
      </c>
      <c r="AA91" s="562"/>
      <c r="AB91" s="562"/>
      <c r="AC91" s="562"/>
      <c r="AD91" s="562"/>
      <c r="AE91" s="562"/>
      <c r="AF91" s="492">
        <f t="shared" si="57"/>
        <v>0</v>
      </c>
      <c r="AG91" s="496"/>
      <c r="AH91" s="496"/>
      <c r="AI91" s="496"/>
      <c r="AJ91" s="496"/>
      <c r="AK91" s="496"/>
      <c r="AL91" s="492">
        <f t="shared" si="58"/>
        <v>0</v>
      </c>
      <c r="AM91" s="497"/>
      <c r="AN91" s="497"/>
      <c r="AO91" s="497"/>
      <c r="AP91" s="497"/>
      <c r="AQ91" s="497"/>
      <c r="AR91" s="492">
        <f t="shared" si="59"/>
        <v>0</v>
      </c>
      <c r="AS91" s="28">
        <f t="shared" si="52"/>
        <v>0</v>
      </c>
      <c r="AT91" s="29">
        <f t="shared" si="53"/>
        <v>0</v>
      </c>
      <c r="AU91" s="588" t="str">
        <f t="shared" si="54"/>
        <v/>
      </c>
    </row>
    <row r="92" spans="1:47" s="30" customFormat="1" ht="15">
      <c r="A92" s="478" t="s">
        <v>0</v>
      </c>
      <c r="B92" s="418" t="s">
        <v>115</v>
      </c>
      <c r="C92" s="60"/>
      <c r="D92" s="60"/>
      <c r="E92" s="60"/>
      <c r="F92" s="60"/>
      <c r="G92" s="60"/>
      <c r="H92" s="492">
        <f t="shared" si="42"/>
        <v>0</v>
      </c>
      <c r="I92" s="495"/>
      <c r="J92" s="495"/>
      <c r="K92" s="495"/>
      <c r="L92" s="495"/>
      <c r="M92" s="495"/>
      <c r="N92" s="492">
        <f t="shared" si="43"/>
        <v>0</v>
      </c>
      <c r="O92" s="497"/>
      <c r="P92" s="497"/>
      <c r="Q92" s="497"/>
      <c r="R92" s="497"/>
      <c r="S92" s="497"/>
      <c r="T92" s="492">
        <f t="shared" si="55"/>
        <v>0</v>
      </c>
      <c r="U92" s="493"/>
      <c r="V92" s="495"/>
      <c r="W92" s="495"/>
      <c r="X92" s="495"/>
      <c r="Y92" s="495"/>
      <c r="Z92" s="492">
        <f t="shared" si="56"/>
        <v>0</v>
      </c>
      <c r="AA92" s="562"/>
      <c r="AB92" s="562"/>
      <c r="AC92" s="562"/>
      <c r="AD92" s="562"/>
      <c r="AE92" s="562"/>
      <c r="AF92" s="492">
        <f t="shared" si="57"/>
        <v>0</v>
      </c>
      <c r="AG92" s="497"/>
      <c r="AH92" s="497"/>
      <c r="AI92" s="497"/>
      <c r="AJ92" s="497"/>
      <c r="AK92" s="497"/>
      <c r="AL92" s="492">
        <f t="shared" si="58"/>
        <v>0</v>
      </c>
      <c r="AM92" s="497"/>
      <c r="AN92" s="497"/>
      <c r="AO92" s="497"/>
      <c r="AP92" s="497"/>
      <c r="AQ92" s="497"/>
      <c r="AR92" s="492">
        <f t="shared" si="59"/>
        <v>0</v>
      </c>
      <c r="AS92" s="28">
        <f>SUM(N92,H92,T92,Z92,AF92,AL92,AR92)</f>
        <v>0</v>
      </c>
      <c r="AT92" s="29">
        <f>COUNT(C92:G92,I92:M92,O92:S92,U92:Y92,AA92:AE92,AG92:AK92,AM92:AQ92)</f>
        <v>0</v>
      </c>
      <c r="AU92" s="588" t="str">
        <f>IF(AT92=0,"",AS92/AT92)</f>
        <v/>
      </c>
    </row>
    <row r="93" spans="1:47" s="30" customFormat="1" ht="15">
      <c r="A93" s="478" t="s">
        <v>0</v>
      </c>
      <c r="B93" s="418" t="s">
        <v>75</v>
      </c>
      <c r="C93" s="60"/>
      <c r="D93" s="60"/>
      <c r="E93" s="60"/>
      <c r="F93" s="60"/>
      <c r="G93" s="60"/>
      <c r="H93" s="492">
        <f>SUM(C93+D93+E93+F93+G93)</f>
        <v>0</v>
      </c>
      <c r="I93" s="495"/>
      <c r="J93" s="495"/>
      <c r="K93" s="495"/>
      <c r="L93" s="495"/>
      <c r="M93" s="495"/>
      <c r="N93" s="492">
        <f>SUM(I93+J93+K93+L93+M93)</f>
        <v>0</v>
      </c>
      <c r="O93" s="497"/>
      <c r="P93" s="497"/>
      <c r="Q93" s="497"/>
      <c r="R93" s="497"/>
      <c r="S93" s="497"/>
      <c r="T93" s="492">
        <f>SUM(O93+P93+Q93+R93+S93)</f>
        <v>0</v>
      </c>
      <c r="U93" s="493"/>
      <c r="V93" s="495"/>
      <c r="W93" s="495"/>
      <c r="X93" s="495"/>
      <c r="Y93" s="495"/>
      <c r="Z93" s="492">
        <f>SUM(U93+V93+W93+X93+Y93)</f>
        <v>0</v>
      </c>
      <c r="AA93" s="562"/>
      <c r="AB93" s="562"/>
      <c r="AC93" s="562"/>
      <c r="AD93" s="562"/>
      <c r="AE93" s="562"/>
      <c r="AF93" s="492">
        <f>SUM(AA93+AB93+AC93+AD93+AE93)</f>
        <v>0</v>
      </c>
      <c r="AG93" s="496"/>
      <c r="AH93" s="496"/>
      <c r="AI93" s="496"/>
      <c r="AJ93" s="496"/>
      <c r="AK93" s="496"/>
      <c r="AL93" s="492">
        <f>SUM(AG93+AH93+AI93+AJ93+AK93)</f>
        <v>0</v>
      </c>
      <c r="AM93" s="497"/>
      <c r="AN93" s="497"/>
      <c r="AO93" s="497"/>
      <c r="AP93" s="497"/>
      <c r="AQ93" s="497"/>
      <c r="AR93" s="492">
        <f>SUM(AM93+AN93+AO93+AP93+AQ93)</f>
        <v>0</v>
      </c>
      <c r="AS93" s="28">
        <f>SUM(N93,H93,T93,Z93,AF93,AL93,AR93)</f>
        <v>0</v>
      </c>
      <c r="AT93" s="29">
        <f>COUNT(C93:G93,I93:M93,O93:S93,U93:Y93,AA93:AE93,AG93:AK93,AM93:AQ93)</f>
        <v>0</v>
      </c>
      <c r="AU93" s="588" t="str">
        <f>IF(AT93=0,"",AS93/AT93)</f>
        <v/>
      </c>
    </row>
    <row r="94" spans="1:47" s="30" customFormat="1" ht="15">
      <c r="A94" s="478" t="s">
        <v>0</v>
      </c>
      <c r="B94" s="418" t="s">
        <v>125</v>
      </c>
      <c r="C94" s="60"/>
      <c r="D94" s="60"/>
      <c r="E94" s="60"/>
      <c r="F94" s="60"/>
      <c r="G94" s="60"/>
      <c r="H94" s="492"/>
      <c r="I94" s="495"/>
      <c r="J94" s="495"/>
      <c r="K94" s="495"/>
      <c r="L94" s="495"/>
      <c r="M94" s="495"/>
      <c r="N94" s="492"/>
      <c r="O94" s="497"/>
      <c r="P94" s="497"/>
      <c r="Q94" s="497"/>
      <c r="R94" s="497"/>
      <c r="S94" s="497"/>
      <c r="T94" s="492"/>
      <c r="U94" s="493"/>
      <c r="V94" s="495"/>
      <c r="W94" s="495"/>
      <c r="X94" s="495"/>
      <c r="Y94" s="495"/>
      <c r="Z94" s="492"/>
      <c r="AA94" s="570">
        <v>144</v>
      </c>
      <c r="AB94" s="570">
        <v>103</v>
      </c>
      <c r="AC94" s="570">
        <v>134</v>
      </c>
      <c r="AD94" s="570">
        <v>110</v>
      </c>
      <c r="AE94" s="570">
        <v>149</v>
      </c>
      <c r="AF94" s="492">
        <f>SUM(AA94+AB94+AC94+AD94+AE94)</f>
        <v>640</v>
      </c>
      <c r="AG94" s="496"/>
      <c r="AH94" s="496"/>
      <c r="AI94" s="496"/>
      <c r="AJ94" s="496"/>
      <c r="AK94" s="496"/>
      <c r="AL94" s="492">
        <f>SUM(AG94+AH94+AI94+AJ94+AK94)</f>
        <v>0</v>
      </c>
      <c r="AM94" s="497"/>
      <c r="AN94" s="497"/>
      <c r="AO94" s="497"/>
      <c r="AP94" s="497"/>
      <c r="AQ94" s="497"/>
      <c r="AR94" s="492">
        <f>SUM(AM94+AN94+AO94+AP94+AQ94)</f>
        <v>0</v>
      </c>
      <c r="AS94" s="28">
        <f>SUM(N94,H94,T94,Z94,AF94,AL94,AR94)</f>
        <v>640</v>
      </c>
      <c r="AT94" s="29">
        <f>COUNT(C94:G94,I94:M94,O94:S94,U94:Y94,AA94:AE94,AG94:AK94,AM94:AQ94)</f>
        <v>5</v>
      </c>
      <c r="AU94" s="588">
        <f>IF(AT94=0,"",AS94/AT94)</f>
        <v>128</v>
      </c>
    </row>
    <row r="95" spans="1:47" s="30" customFormat="1" ht="15">
      <c r="A95" s="478" t="s">
        <v>0</v>
      </c>
      <c r="B95" s="418" t="s">
        <v>126</v>
      </c>
      <c r="C95" s="60"/>
      <c r="D95" s="60"/>
      <c r="E95" s="60"/>
      <c r="F95" s="60"/>
      <c r="G95" s="60"/>
      <c r="H95" s="492"/>
      <c r="I95" s="495"/>
      <c r="J95" s="495"/>
      <c r="K95" s="495"/>
      <c r="L95" s="495"/>
      <c r="M95" s="495"/>
      <c r="N95" s="492"/>
      <c r="O95" s="497"/>
      <c r="P95" s="497"/>
      <c r="Q95" s="497"/>
      <c r="R95" s="497"/>
      <c r="S95" s="497"/>
      <c r="T95" s="492"/>
      <c r="U95" s="493"/>
      <c r="V95" s="495"/>
      <c r="W95" s="495"/>
      <c r="X95" s="495"/>
      <c r="Y95" s="495"/>
      <c r="Z95" s="492"/>
      <c r="AA95" s="502"/>
      <c r="AB95" s="502"/>
      <c r="AC95" s="502"/>
      <c r="AD95" s="502"/>
      <c r="AE95" s="502"/>
      <c r="AF95" s="492"/>
      <c r="AG95" s="496"/>
      <c r="AH95" s="496"/>
      <c r="AI95" s="496"/>
      <c r="AJ95" s="496"/>
      <c r="AK95" s="496"/>
      <c r="AL95" s="492">
        <f>SUM(AG95+AH95+AI95+AJ95+AK95)</f>
        <v>0</v>
      </c>
      <c r="AM95" s="497"/>
      <c r="AN95" s="497"/>
      <c r="AO95" s="497"/>
      <c r="AP95" s="497"/>
      <c r="AQ95" s="497"/>
      <c r="AR95" s="492">
        <f>SUM(AM95+AN95+AO95+AP95+AQ95)</f>
        <v>0</v>
      </c>
      <c r="AS95" s="28">
        <f>SUM(N95,H95,T95,Z95,AF95,AL95,AR95)</f>
        <v>0</v>
      </c>
      <c r="AT95" s="29">
        <f>COUNT(C95:G95,I95:M95,O95:S95,U95:Y95,AA95:AE95,AG95:AK95,AM95:AQ95)</f>
        <v>0</v>
      </c>
      <c r="AU95" s="588" t="str">
        <f>IF(AT95=0,"",AS95/AT95)</f>
        <v/>
      </c>
    </row>
    <row r="96" spans="1:47" s="30" customFormat="1" ht="15">
      <c r="A96" s="478"/>
      <c r="B96" s="418"/>
      <c r="C96" s="60"/>
      <c r="D96" s="60"/>
      <c r="E96" s="60"/>
      <c r="F96" s="60"/>
      <c r="G96" s="60"/>
      <c r="H96" s="492"/>
      <c r="I96" s="495"/>
      <c r="J96" s="495"/>
      <c r="K96" s="495"/>
      <c r="L96" s="495"/>
      <c r="M96" s="495"/>
      <c r="N96" s="509"/>
      <c r="O96" s="497"/>
      <c r="P96" s="497"/>
      <c r="Q96" s="497"/>
      <c r="R96" s="497"/>
      <c r="S96" s="497"/>
      <c r="T96" s="509"/>
      <c r="U96" s="493"/>
      <c r="V96" s="495"/>
      <c r="W96" s="495"/>
      <c r="X96" s="495"/>
      <c r="Y96" s="495"/>
      <c r="Z96" s="509"/>
      <c r="AA96" s="501"/>
      <c r="AB96" s="501"/>
      <c r="AC96" s="501"/>
      <c r="AD96" s="501"/>
      <c r="AE96" s="501"/>
      <c r="AF96" s="509"/>
      <c r="AG96" s="497"/>
      <c r="AH96" s="497"/>
      <c r="AI96" s="497"/>
      <c r="AJ96" s="497"/>
      <c r="AK96" s="497"/>
      <c r="AL96" s="509"/>
      <c r="AM96" s="497"/>
      <c r="AN96" s="497"/>
      <c r="AO96" s="497"/>
      <c r="AP96" s="497"/>
      <c r="AQ96" s="497"/>
      <c r="AR96" s="509"/>
      <c r="AS96" s="32"/>
      <c r="AT96" s="33"/>
      <c r="AU96" s="588"/>
    </row>
    <row r="97" spans="1:47" s="30" customFormat="1" ht="15.75" thickBot="1">
      <c r="A97" s="479"/>
      <c r="B97" s="480"/>
      <c r="C97" s="439"/>
      <c r="D97" s="439"/>
      <c r="E97" s="439"/>
      <c r="F97" s="439"/>
      <c r="G97" s="439"/>
      <c r="H97" s="440"/>
      <c r="I97" s="439"/>
      <c r="J97" s="439"/>
      <c r="K97" s="439"/>
      <c r="L97" s="439"/>
      <c r="M97" s="439"/>
      <c r="N97" s="441"/>
      <c r="O97" s="441"/>
      <c r="P97" s="441"/>
      <c r="Q97" s="441"/>
      <c r="R97" s="441"/>
      <c r="S97" s="441"/>
      <c r="T97" s="441"/>
      <c r="U97" s="442"/>
      <c r="V97" s="442"/>
      <c r="W97" s="442"/>
      <c r="X97" s="442"/>
      <c r="Y97" s="442"/>
      <c r="Z97" s="441"/>
      <c r="AA97" s="442"/>
      <c r="AB97" s="442"/>
      <c r="AC97" s="442"/>
      <c r="AD97" s="442"/>
      <c r="AE97" s="442"/>
      <c r="AF97" s="441"/>
      <c r="AG97" s="441"/>
      <c r="AH97" s="441"/>
      <c r="AI97" s="441"/>
      <c r="AJ97" s="441"/>
      <c r="AK97" s="441"/>
      <c r="AL97" s="441"/>
      <c r="AM97" s="441"/>
      <c r="AN97" s="441"/>
      <c r="AO97" s="441"/>
      <c r="AP97" s="441"/>
      <c r="AQ97" s="441"/>
      <c r="AR97" s="441"/>
      <c r="AS97" s="441">
        <f>SUM(AS76:AS91)</f>
        <v>49936</v>
      </c>
      <c r="AT97" s="441">
        <f>SUM(AT76:AT91)</f>
        <v>345</v>
      </c>
      <c r="AU97" s="443">
        <f>IF(AT97=0,"",AS97/AT97)</f>
        <v>144.74202898550723</v>
      </c>
    </row>
    <row r="98" spans="1:47" s="30" customFormat="1" ht="15.75" thickBot="1">
      <c r="A98" s="481"/>
      <c r="B98" s="482"/>
      <c r="C98" s="446"/>
      <c r="D98" s="446"/>
      <c r="E98" s="446"/>
      <c r="F98" s="446"/>
      <c r="G98" s="446"/>
      <c r="H98" s="447"/>
      <c r="I98" s="446"/>
      <c r="J98" s="446"/>
      <c r="K98" s="446"/>
      <c r="L98" s="446"/>
      <c r="M98" s="446"/>
      <c r="N98" s="447"/>
      <c r="O98" s="447"/>
      <c r="P98" s="447"/>
      <c r="Q98" s="447"/>
      <c r="R98" s="447"/>
      <c r="S98" s="447"/>
      <c r="T98" s="447"/>
      <c r="U98" s="448"/>
      <c r="V98" s="448"/>
      <c r="W98" s="448"/>
      <c r="X98" s="448"/>
      <c r="Y98" s="448"/>
      <c r="Z98" s="447"/>
      <c r="AA98" s="448"/>
      <c r="AB98" s="448"/>
      <c r="AC98" s="448"/>
      <c r="AD98" s="448"/>
      <c r="AE98" s="448"/>
      <c r="AF98" s="447"/>
      <c r="AG98" s="447"/>
      <c r="AH98" s="447"/>
      <c r="AI98" s="447"/>
      <c r="AJ98" s="447"/>
      <c r="AK98" s="447"/>
      <c r="AL98" s="447"/>
      <c r="AM98" s="447"/>
      <c r="AN98" s="447"/>
      <c r="AO98" s="447"/>
      <c r="AP98" s="447"/>
      <c r="AQ98" s="447"/>
      <c r="AR98" s="447"/>
      <c r="AS98" s="446"/>
      <c r="AT98" s="446"/>
      <c r="AU98" s="449"/>
    </row>
    <row r="99" spans="1:47" s="30" customFormat="1" ht="15">
      <c r="A99" s="483" t="s">
        <v>7</v>
      </c>
      <c r="B99" s="484" t="s">
        <v>96</v>
      </c>
      <c r="C99" s="452">
        <v>143</v>
      </c>
      <c r="D99" s="452">
        <v>119</v>
      </c>
      <c r="E99" s="452">
        <v>136</v>
      </c>
      <c r="F99" s="452">
        <v>201</v>
      </c>
      <c r="G99" s="452">
        <v>200</v>
      </c>
      <c r="H99" s="489">
        <f t="shared" ref="H99:H117" si="60">SUM(C99+D99+E99+F99+G99)</f>
        <v>799</v>
      </c>
      <c r="I99" s="490">
        <v>178</v>
      </c>
      <c r="J99" s="490">
        <v>183</v>
      </c>
      <c r="K99" s="490">
        <v>170</v>
      </c>
      <c r="L99" s="490">
        <v>189</v>
      </c>
      <c r="M99" s="490">
        <v>171</v>
      </c>
      <c r="N99" s="489">
        <f t="shared" ref="N99:N114" si="61">SUM(I99+J99+K99+L99+M99)</f>
        <v>891</v>
      </c>
      <c r="O99" s="491">
        <v>136</v>
      </c>
      <c r="P99" s="491">
        <v>159</v>
      </c>
      <c r="Q99" s="491">
        <v>138</v>
      </c>
      <c r="R99" s="491">
        <v>174</v>
      </c>
      <c r="S99" s="491">
        <v>153</v>
      </c>
      <c r="T99" s="489">
        <f t="shared" ref="T99:T111" si="62">SUM(O99+P99+Q99+R99+S99)</f>
        <v>760</v>
      </c>
      <c r="U99" s="490">
        <v>190</v>
      </c>
      <c r="V99" s="490">
        <v>180</v>
      </c>
      <c r="W99" s="490">
        <v>169</v>
      </c>
      <c r="X99" s="490">
        <v>178</v>
      </c>
      <c r="Y99" s="490">
        <v>166</v>
      </c>
      <c r="Z99" s="489">
        <f t="shared" ref="Z99:Z111" si="63">SUM(U99+V99+W99+X99+Y99)</f>
        <v>883</v>
      </c>
      <c r="AA99" s="587">
        <v>201</v>
      </c>
      <c r="AB99" s="587">
        <v>205</v>
      </c>
      <c r="AC99" s="587">
        <v>199</v>
      </c>
      <c r="AD99" s="587">
        <v>171</v>
      </c>
      <c r="AE99" s="587">
        <v>183</v>
      </c>
      <c r="AF99" s="489">
        <f t="shared" ref="AF99:AF111" si="64">SUM(AA99+AB99+AC99+AD99+AE99)</f>
        <v>959</v>
      </c>
      <c r="AG99" s="655">
        <v>160</v>
      </c>
      <c r="AH99" s="655">
        <v>169</v>
      </c>
      <c r="AI99" s="655">
        <v>176</v>
      </c>
      <c r="AJ99" s="655">
        <v>182</v>
      </c>
      <c r="AK99" s="655">
        <v>160</v>
      </c>
      <c r="AL99" s="489">
        <f t="shared" ref="AL99:AL111" si="65">SUM(AG99+AH99+AI99+AJ99+AK99)</f>
        <v>847</v>
      </c>
      <c r="AM99" s="830">
        <v>180</v>
      </c>
      <c r="AN99" s="830">
        <v>179</v>
      </c>
      <c r="AO99" s="830">
        <v>167</v>
      </c>
      <c r="AP99" s="830">
        <v>144</v>
      </c>
      <c r="AQ99" s="830">
        <v>190</v>
      </c>
      <c r="AR99" s="489">
        <f t="shared" ref="AR99:AR111" si="66">SUM(AM99+AN99+AO99+AP99+AQ99)</f>
        <v>860</v>
      </c>
      <c r="AS99" s="453">
        <f t="shared" ref="AS99:AS108" si="67">SUM(N99,H99,T99,Z99,AF99,AL99,AR99)</f>
        <v>5999</v>
      </c>
      <c r="AT99" s="454">
        <f t="shared" ref="AT99:AT108" si="68">COUNT(C99:G99,I99:M99,O99:S99,U99:Y99,AA99:AE99,AG99:AK99,AM99:AQ99)</f>
        <v>35</v>
      </c>
      <c r="AU99" s="589">
        <f t="shared" ref="AU99:AU108" si="69">IF(AT99=0,"",AS99/AT99)</f>
        <v>171.4</v>
      </c>
    </row>
    <row r="100" spans="1:47" s="30" customFormat="1" ht="15">
      <c r="A100" s="485" t="s">
        <v>7</v>
      </c>
      <c r="B100" s="423" t="s">
        <v>127</v>
      </c>
      <c r="C100" s="177">
        <v>170</v>
      </c>
      <c r="D100" s="177">
        <v>122</v>
      </c>
      <c r="E100" s="177">
        <v>100</v>
      </c>
      <c r="F100" s="177">
        <v>128</v>
      </c>
      <c r="G100" s="177">
        <v>91</v>
      </c>
      <c r="H100" s="492">
        <f t="shared" si="60"/>
        <v>611</v>
      </c>
      <c r="I100" s="493">
        <v>121</v>
      </c>
      <c r="J100" s="493">
        <v>161</v>
      </c>
      <c r="K100" s="493">
        <v>148</v>
      </c>
      <c r="L100" s="493">
        <v>129</v>
      </c>
      <c r="M100" s="493">
        <v>124</v>
      </c>
      <c r="N100" s="492">
        <f t="shared" si="61"/>
        <v>683</v>
      </c>
      <c r="O100" s="494">
        <v>103</v>
      </c>
      <c r="P100" s="494">
        <v>122</v>
      </c>
      <c r="Q100" s="494">
        <v>113</v>
      </c>
      <c r="R100" s="494">
        <v>122</v>
      </c>
      <c r="S100" s="494">
        <v>113</v>
      </c>
      <c r="T100" s="492">
        <f t="shared" si="62"/>
        <v>573</v>
      </c>
      <c r="U100" s="493">
        <v>104</v>
      </c>
      <c r="V100" s="493">
        <v>124</v>
      </c>
      <c r="W100" s="493">
        <v>87</v>
      </c>
      <c r="X100" s="493">
        <v>133</v>
      </c>
      <c r="Y100" s="493">
        <v>135</v>
      </c>
      <c r="Z100" s="492">
        <f t="shared" si="63"/>
        <v>583</v>
      </c>
      <c r="AA100" s="570">
        <v>139</v>
      </c>
      <c r="AB100" s="570">
        <v>130</v>
      </c>
      <c r="AC100" s="570">
        <v>123</v>
      </c>
      <c r="AD100" s="570">
        <v>182</v>
      </c>
      <c r="AE100" s="570">
        <v>123</v>
      </c>
      <c r="AF100" s="492">
        <f t="shared" si="64"/>
        <v>697</v>
      </c>
      <c r="AG100" s="496"/>
      <c r="AH100" s="496"/>
      <c r="AI100" s="496"/>
      <c r="AJ100" s="496"/>
      <c r="AK100" s="496"/>
      <c r="AL100" s="492">
        <f t="shared" si="65"/>
        <v>0</v>
      </c>
      <c r="AM100" s="45">
        <v>116</v>
      </c>
      <c r="AN100" s="45">
        <v>109</v>
      </c>
      <c r="AO100" s="45">
        <v>116</v>
      </c>
      <c r="AP100" s="45">
        <v>115</v>
      </c>
      <c r="AQ100" s="45">
        <v>119</v>
      </c>
      <c r="AR100" s="492">
        <f t="shared" si="66"/>
        <v>575</v>
      </c>
      <c r="AS100" s="28">
        <f t="shared" si="67"/>
        <v>3722</v>
      </c>
      <c r="AT100" s="29">
        <f t="shared" si="68"/>
        <v>30</v>
      </c>
      <c r="AU100" s="588">
        <f t="shared" si="69"/>
        <v>124.06666666666666</v>
      </c>
    </row>
    <row r="101" spans="1:47" s="30" customFormat="1" ht="15">
      <c r="A101" s="485" t="s">
        <v>7</v>
      </c>
      <c r="B101" s="423" t="s">
        <v>44</v>
      </c>
      <c r="C101" s="35"/>
      <c r="D101" s="35"/>
      <c r="E101" s="35"/>
      <c r="F101" s="35"/>
      <c r="G101" s="35"/>
      <c r="H101" s="492">
        <f t="shared" si="60"/>
        <v>0</v>
      </c>
      <c r="I101" s="493">
        <v>122</v>
      </c>
      <c r="J101" s="493">
        <v>142</v>
      </c>
      <c r="K101" s="493">
        <v>125</v>
      </c>
      <c r="L101" s="493">
        <v>153</v>
      </c>
      <c r="M101" s="493">
        <v>120</v>
      </c>
      <c r="N101" s="492">
        <f t="shared" si="61"/>
        <v>662</v>
      </c>
      <c r="O101" s="498"/>
      <c r="P101" s="498"/>
      <c r="Q101" s="498"/>
      <c r="R101" s="498"/>
      <c r="S101" s="498"/>
      <c r="T101" s="492">
        <f t="shared" si="62"/>
        <v>0</v>
      </c>
      <c r="U101" s="493">
        <v>124</v>
      </c>
      <c r="V101" s="493">
        <v>137</v>
      </c>
      <c r="W101" s="493">
        <v>146</v>
      </c>
      <c r="X101" s="493">
        <v>173</v>
      </c>
      <c r="Y101" s="493">
        <v>145</v>
      </c>
      <c r="Z101" s="492">
        <f t="shared" si="63"/>
        <v>725</v>
      </c>
      <c r="AA101" s="571"/>
      <c r="AB101" s="571"/>
      <c r="AC101" s="571"/>
      <c r="AD101" s="571"/>
      <c r="AE101" s="571"/>
      <c r="AF101" s="492">
        <f t="shared" si="64"/>
        <v>0</v>
      </c>
      <c r="AG101" s="655">
        <v>156</v>
      </c>
      <c r="AH101" s="655">
        <v>134</v>
      </c>
      <c r="AI101" s="655">
        <v>162</v>
      </c>
      <c r="AJ101" s="655">
        <v>167</v>
      </c>
      <c r="AK101" s="655">
        <v>136</v>
      </c>
      <c r="AL101" s="492">
        <f t="shared" si="65"/>
        <v>755</v>
      </c>
      <c r="AM101" s="829"/>
      <c r="AN101" s="829"/>
      <c r="AO101" s="829"/>
      <c r="AP101" s="829"/>
      <c r="AQ101" s="829"/>
      <c r="AR101" s="492">
        <f t="shared" si="66"/>
        <v>0</v>
      </c>
      <c r="AS101" s="28">
        <f t="shared" si="67"/>
        <v>2142</v>
      </c>
      <c r="AT101" s="29">
        <f t="shared" si="68"/>
        <v>15</v>
      </c>
      <c r="AU101" s="588">
        <f t="shared" si="69"/>
        <v>142.80000000000001</v>
      </c>
    </row>
    <row r="102" spans="1:47" s="30" customFormat="1" ht="15">
      <c r="A102" s="485" t="s">
        <v>7</v>
      </c>
      <c r="B102" s="423" t="s">
        <v>11</v>
      </c>
      <c r="C102" s="51"/>
      <c r="D102" s="51"/>
      <c r="E102" s="51"/>
      <c r="F102" s="51"/>
      <c r="G102" s="61"/>
      <c r="H102" s="492">
        <f t="shared" si="60"/>
        <v>0</v>
      </c>
      <c r="I102" s="496"/>
      <c r="J102" s="496"/>
      <c r="K102" s="496"/>
      <c r="L102" s="496"/>
      <c r="M102" s="496"/>
      <c r="N102" s="492">
        <f t="shared" si="61"/>
        <v>0</v>
      </c>
      <c r="O102" s="498"/>
      <c r="P102" s="498"/>
      <c r="Q102" s="498"/>
      <c r="R102" s="498"/>
      <c r="S102" s="498"/>
      <c r="T102" s="492">
        <f t="shared" si="62"/>
        <v>0</v>
      </c>
      <c r="U102" s="493"/>
      <c r="V102" s="500"/>
      <c r="W102" s="500"/>
      <c r="X102" s="500"/>
      <c r="Y102" s="500"/>
      <c r="Z102" s="492">
        <f t="shared" si="63"/>
        <v>0</v>
      </c>
      <c r="AA102" s="571"/>
      <c r="AB102" s="571"/>
      <c r="AC102" s="571"/>
      <c r="AD102" s="571"/>
      <c r="AE102" s="571"/>
      <c r="AF102" s="492">
        <f t="shared" si="64"/>
        <v>0</v>
      </c>
      <c r="AG102" s="497"/>
      <c r="AH102" s="497"/>
      <c r="AI102" s="497"/>
      <c r="AJ102" s="497"/>
      <c r="AK102" s="497"/>
      <c r="AL102" s="492">
        <f t="shared" si="65"/>
        <v>0</v>
      </c>
      <c r="AM102" s="829"/>
      <c r="AN102" s="829"/>
      <c r="AO102" s="829"/>
      <c r="AP102" s="829"/>
      <c r="AQ102" s="829"/>
      <c r="AR102" s="492">
        <f t="shared" si="66"/>
        <v>0</v>
      </c>
      <c r="AS102" s="28">
        <f t="shared" si="67"/>
        <v>0</v>
      </c>
      <c r="AT102" s="29">
        <f t="shared" si="68"/>
        <v>0</v>
      </c>
      <c r="AU102" s="588" t="str">
        <f t="shared" si="69"/>
        <v/>
      </c>
    </row>
    <row r="103" spans="1:47" s="30" customFormat="1" ht="15">
      <c r="A103" s="485" t="s">
        <v>7</v>
      </c>
      <c r="B103" s="423" t="s">
        <v>106</v>
      </c>
      <c r="C103" s="177">
        <v>117</v>
      </c>
      <c r="D103" s="177">
        <v>141</v>
      </c>
      <c r="E103" s="177">
        <v>103</v>
      </c>
      <c r="F103" s="177">
        <v>115</v>
      </c>
      <c r="G103" s="177">
        <v>140</v>
      </c>
      <c r="H103" s="492">
        <f t="shared" si="60"/>
        <v>616</v>
      </c>
      <c r="I103" s="493">
        <v>110</v>
      </c>
      <c r="J103" s="493">
        <v>145</v>
      </c>
      <c r="K103" s="493">
        <v>186</v>
      </c>
      <c r="L103" s="493">
        <v>146</v>
      </c>
      <c r="M103" s="493">
        <v>151</v>
      </c>
      <c r="N103" s="492">
        <f t="shared" si="61"/>
        <v>738</v>
      </c>
      <c r="O103" s="494">
        <v>153</v>
      </c>
      <c r="P103" s="494">
        <v>182</v>
      </c>
      <c r="Q103" s="494">
        <v>168</v>
      </c>
      <c r="R103" s="494">
        <v>148</v>
      </c>
      <c r="S103" s="494">
        <v>160</v>
      </c>
      <c r="T103" s="492">
        <f t="shared" si="62"/>
        <v>811</v>
      </c>
      <c r="U103" s="493"/>
      <c r="V103" s="501"/>
      <c r="W103" s="501"/>
      <c r="X103" s="501"/>
      <c r="Y103" s="501"/>
      <c r="Z103" s="492">
        <f t="shared" si="63"/>
        <v>0</v>
      </c>
      <c r="AA103" s="570">
        <v>150</v>
      </c>
      <c r="AB103" s="570">
        <v>162</v>
      </c>
      <c r="AC103" s="570">
        <v>181</v>
      </c>
      <c r="AD103" s="570">
        <v>142</v>
      </c>
      <c r="AE103" s="570">
        <v>160</v>
      </c>
      <c r="AF103" s="492">
        <f t="shared" si="64"/>
        <v>795</v>
      </c>
      <c r="AG103" s="497"/>
      <c r="AH103" s="497"/>
      <c r="AI103" s="497"/>
      <c r="AJ103" s="497"/>
      <c r="AK103" s="497"/>
      <c r="AL103" s="492">
        <f t="shared" si="65"/>
        <v>0</v>
      </c>
      <c r="AM103" s="45">
        <v>134</v>
      </c>
      <c r="AN103" s="45">
        <v>144</v>
      </c>
      <c r="AO103" s="45">
        <v>158</v>
      </c>
      <c r="AP103" s="45">
        <v>95</v>
      </c>
      <c r="AQ103" s="45">
        <v>116</v>
      </c>
      <c r="AR103" s="492">
        <f t="shared" si="66"/>
        <v>647</v>
      </c>
      <c r="AS103" s="28">
        <f t="shared" si="67"/>
        <v>3607</v>
      </c>
      <c r="AT103" s="29">
        <f t="shared" si="68"/>
        <v>25</v>
      </c>
      <c r="AU103" s="588">
        <f t="shared" si="69"/>
        <v>144.28</v>
      </c>
    </row>
    <row r="104" spans="1:47" s="30" customFormat="1" ht="15">
      <c r="A104" s="485" t="s">
        <v>7</v>
      </c>
      <c r="B104" s="423" t="s">
        <v>14</v>
      </c>
      <c r="C104" s="177">
        <v>126</v>
      </c>
      <c r="D104" s="177">
        <v>114</v>
      </c>
      <c r="E104" s="177">
        <v>104</v>
      </c>
      <c r="F104" s="177">
        <v>119</v>
      </c>
      <c r="G104" s="177">
        <v>97</v>
      </c>
      <c r="H104" s="492">
        <f t="shared" si="60"/>
        <v>560</v>
      </c>
      <c r="I104" s="493">
        <v>141</v>
      </c>
      <c r="J104" s="493">
        <v>110</v>
      </c>
      <c r="K104" s="493">
        <v>107</v>
      </c>
      <c r="L104" s="493">
        <v>132</v>
      </c>
      <c r="M104" s="493">
        <v>114</v>
      </c>
      <c r="N104" s="492">
        <f t="shared" si="61"/>
        <v>604</v>
      </c>
      <c r="O104" s="494">
        <v>125</v>
      </c>
      <c r="P104" s="494">
        <v>126</v>
      </c>
      <c r="Q104" s="494">
        <v>123</v>
      </c>
      <c r="R104" s="494">
        <v>126</v>
      </c>
      <c r="S104" s="494">
        <v>105</v>
      </c>
      <c r="T104" s="492">
        <f t="shared" si="62"/>
        <v>605</v>
      </c>
      <c r="U104" s="493">
        <v>161</v>
      </c>
      <c r="V104" s="493">
        <v>137</v>
      </c>
      <c r="W104" s="493">
        <v>110</v>
      </c>
      <c r="X104" s="493">
        <v>161</v>
      </c>
      <c r="Y104" s="493">
        <v>136</v>
      </c>
      <c r="Z104" s="492">
        <f t="shared" si="63"/>
        <v>705</v>
      </c>
      <c r="AA104" s="570">
        <v>120</v>
      </c>
      <c r="AB104" s="570">
        <v>118</v>
      </c>
      <c r="AC104" s="570">
        <v>127</v>
      </c>
      <c r="AD104" s="570">
        <v>108</v>
      </c>
      <c r="AE104" s="570">
        <v>146</v>
      </c>
      <c r="AF104" s="492">
        <f t="shared" si="64"/>
        <v>619</v>
      </c>
      <c r="AG104" s="655">
        <v>112</v>
      </c>
      <c r="AH104" s="655">
        <v>76</v>
      </c>
      <c r="AI104" s="655">
        <v>127</v>
      </c>
      <c r="AJ104" s="655">
        <v>177</v>
      </c>
      <c r="AK104" s="655">
        <v>101</v>
      </c>
      <c r="AL104" s="492">
        <f t="shared" si="65"/>
        <v>593</v>
      </c>
      <c r="AM104" s="45">
        <v>159</v>
      </c>
      <c r="AN104" s="45">
        <v>126</v>
      </c>
      <c r="AO104" s="45">
        <v>83</v>
      </c>
      <c r="AP104" s="45">
        <v>170</v>
      </c>
      <c r="AQ104" s="45">
        <v>102</v>
      </c>
      <c r="AR104" s="492">
        <f t="shared" si="66"/>
        <v>640</v>
      </c>
      <c r="AS104" s="28">
        <f t="shared" si="67"/>
        <v>4326</v>
      </c>
      <c r="AT104" s="29">
        <f t="shared" si="68"/>
        <v>35</v>
      </c>
      <c r="AU104" s="588">
        <f t="shared" si="69"/>
        <v>123.6</v>
      </c>
    </row>
    <row r="105" spans="1:47" s="30" customFormat="1" ht="15">
      <c r="A105" s="485" t="s">
        <v>7</v>
      </c>
      <c r="B105" s="423" t="s">
        <v>26</v>
      </c>
      <c r="C105" s="177">
        <v>124</v>
      </c>
      <c r="D105" s="177">
        <v>116</v>
      </c>
      <c r="E105" s="177">
        <v>157</v>
      </c>
      <c r="F105" s="177">
        <v>134</v>
      </c>
      <c r="G105" s="177">
        <v>124</v>
      </c>
      <c r="H105" s="492">
        <f t="shared" si="60"/>
        <v>655</v>
      </c>
      <c r="I105" s="493">
        <v>124</v>
      </c>
      <c r="J105" s="493">
        <v>123</v>
      </c>
      <c r="K105" s="493">
        <v>139</v>
      </c>
      <c r="L105" s="493">
        <v>135</v>
      </c>
      <c r="M105" s="493">
        <v>135</v>
      </c>
      <c r="N105" s="492">
        <f t="shared" si="61"/>
        <v>656</v>
      </c>
      <c r="O105" s="494">
        <v>170</v>
      </c>
      <c r="P105" s="494">
        <v>136</v>
      </c>
      <c r="Q105" s="494">
        <v>138</v>
      </c>
      <c r="R105" s="494">
        <v>121</v>
      </c>
      <c r="S105" s="494">
        <v>111</v>
      </c>
      <c r="T105" s="492">
        <f t="shared" si="62"/>
        <v>676</v>
      </c>
      <c r="U105" s="493">
        <v>181</v>
      </c>
      <c r="V105" s="493">
        <v>133</v>
      </c>
      <c r="W105" s="493">
        <v>141</v>
      </c>
      <c r="X105" s="493">
        <v>118</v>
      </c>
      <c r="Y105" s="493">
        <v>127</v>
      </c>
      <c r="Z105" s="492">
        <f t="shared" si="63"/>
        <v>700</v>
      </c>
      <c r="AA105" s="35"/>
      <c r="AB105" s="35"/>
      <c r="AC105" s="35"/>
      <c r="AD105" s="35"/>
      <c r="AE105" s="35"/>
      <c r="AF105" s="492">
        <f t="shared" si="64"/>
        <v>0</v>
      </c>
      <c r="AG105" s="655">
        <v>149</v>
      </c>
      <c r="AH105" s="655">
        <v>138</v>
      </c>
      <c r="AI105" s="655">
        <v>159</v>
      </c>
      <c r="AJ105" s="655">
        <v>127</v>
      </c>
      <c r="AK105" s="655">
        <v>121</v>
      </c>
      <c r="AL105" s="492">
        <f t="shared" si="65"/>
        <v>694</v>
      </c>
      <c r="AM105" s="45">
        <v>127</v>
      </c>
      <c r="AN105" s="45">
        <v>171</v>
      </c>
      <c r="AO105" s="45">
        <v>149</v>
      </c>
      <c r="AP105" s="45">
        <v>149</v>
      </c>
      <c r="AQ105" s="45">
        <v>86</v>
      </c>
      <c r="AR105" s="492">
        <f t="shared" si="66"/>
        <v>682</v>
      </c>
      <c r="AS105" s="28">
        <f t="shared" si="67"/>
        <v>4063</v>
      </c>
      <c r="AT105" s="29">
        <f t="shared" si="68"/>
        <v>30</v>
      </c>
      <c r="AU105" s="588">
        <f t="shared" si="69"/>
        <v>135.43333333333334</v>
      </c>
    </row>
    <row r="106" spans="1:47" ht="15">
      <c r="A106" s="485" t="s">
        <v>7</v>
      </c>
      <c r="B106" s="423" t="s">
        <v>116</v>
      </c>
      <c r="C106" s="51"/>
      <c r="D106" s="51"/>
      <c r="E106" s="51"/>
      <c r="F106" s="51"/>
      <c r="G106" s="61"/>
      <c r="H106" s="492">
        <f t="shared" si="60"/>
        <v>0</v>
      </c>
      <c r="I106" s="501"/>
      <c r="J106" s="501"/>
      <c r="K106" s="501"/>
      <c r="L106" s="501"/>
      <c r="M106" s="501"/>
      <c r="N106" s="492">
        <f t="shared" si="61"/>
        <v>0</v>
      </c>
      <c r="O106" s="502"/>
      <c r="P106" s="502"/>
      <c r="Q106" s="502"/>
      <c r="R106" s="502"/>
      <c r="S106" s="502"/>
      <c r="T106" s="492">
        <f t="shared" si="62"/>
        <v>0</v>
      </c>
      <c r="U106" s="493"/>
      <c r="V106" s="501"/>
      <c r="W106" s="501"/>
      <c r="X106" s="501"/>
      <c r="Y106" s="501"/>
      <c r="Z106" s="492">
        <f t="shared" si="63"/>
        <v>0</v>
      </c>
      <c r="AA106" s="562"/>
      <c r="AB106" s="562"/>
      <c r="AC106" s="562"/>
      <c r="AD106" s="562"/>
      <c r="AE106" s="562"/>
      <c r="AF106" s="492">
        <f t="shared" si="64"/>
        <v>0</v>
      </c>
      <c r="AG106" s="501"/>
      <c r="AH106" s="501"/>
      <c r="AI106" s="501"/>
      <c r="AJ106" s="501"/>
      <c r="AK106" s="501"/>
      <c r="AL106" s="492">
        <f t="shared" si="65"/>
        <v>0</v>
      </c>
      <c r="AM106" s="35"/>
      <c r="AN106" s="35"/>
      <c r="AO106" s="35"/>
      <c r="AP106" s="35"/>
      <c r="AQ106" s="35"/>
      <c r="AR106" s="492">
        <f t="shared" si="66"/>
        <v>0</v>
      </c>
      <c r="AS106" s="28">
        <f t="shared" si="67"/>
        <v>0</v>
      </c>
      <c r="AT106" s="29">
        <f t="shared" si="68"/>
        <v>0</v>
      </c>
      <c r="AU106" s="588" t="str">
        <f t="shared" si="69"/>
        <v/>
      </c>
    </row>
    <row r="107" spans="1:47" ht="15">
      <c r="A107" s="485" t="s">
        <v>7</v>
      </c>
      <c r="B107" s="423" t="s">
        <v>292</v>
      </c>
      <c r="C107" s="51"/>
      <c r="D107" s="51"/>
      <c r="E107" s="51"/>
      <c r="F107" s="51"/>
      <c r="G107" s="61"/>
      <c r="H107" s="492">
        <f t="shared" si="60"/>
        <v>0</v>
      </c>
      <c r="I107" s="501"/>
      <c r="J107" s="501"/>
      <c r="K107" s="501"/>
      <c r="L107" s="501"/>
      <c r="M107" s="501"/>
      <c r="N107" s="492">
        <f t="shared" si="61"/>
        <v>0</v>
      </c>
      <c r="O107" s="502"/>
      <c r="P107" s="502"/>
      <c r="Q107" s="502"/>
      <c r="R107" s="502"/>
      <c r="S107" s="502"/>
      <c r="T107" s="492">
        <f t="shared" si="62"/>
        <v>0</v>
      </c>
      <c r="U107" s="493"/>
      <c r="V107" s="495"/>
      <c r="W107" s="495"/>
      <c r="X107" s="495"/>
      <c r="Y107" s="495"/>
      <c r="Z107" s="492">
        <f t="shared" si="63"/>
        <v>0</v>
      </c>
      <c r="AA107" s="562"/>
      <c r="AB107" s="562"/>
      <c r="AC107" s="562"/>
      <c r="AD107" s="562"/>
      <c r="AE107" s="562"/>
      <c r="AF107" s="492">
        <f t="shared" si="64"/>
        <v>0</v>
      </c>
      <c r="AG107" s="655">
        <v>82</v>
      </c>
      <c r="AH107" s="655">
        <v>56</v>
      </c>
      <c r="AI107" s="655">
        <v>65</v>
      </c>
      <c r="AJ107" s="655">
        <v>49</v>
      </c>
      <c r="AK107" s="655">
        <v>81</v>
      </c>
      <c r="AL107" s="492">
        <f t="shared" si="65"/>
        <v>333</v>
      </c>
      <c r="AM107" s="45">
        <v>87</v>
      </c>
      <c r="AN107" s="45">
        <v>60</v>
      </c>
      <c r="AO107" s="45">
        <v>97</v>
      </c>
      <c r="AP107" s="45">
        <v>82</v>
      </c>
      <c r="AQ107" s="45">
        <v>74</v>
      </c>
      <c r="AR107" s="492">
        <f t="shared" si="66"/>
        <v>400</v>
      </c>
      <c r="AS107" s="28">
        <f t="shared" si="67"/>
        <v>733</v>
      </c>
      <c r="AT107" s="29">
        <f t="shared" si="68"/>
        <v>10</v>
      </c>
      <c r="AU107" s="588">
        <f t="shared" si="69"/>
        <v>73.3</v>
      </c>
    </row>
    <row r="108" spans="1:47" ht="15">
      <c r="A108" s="485" t="s">
        <v>7</v>
      </c>
      <c r="B108" s="424" t="s">
        <v>65</v>
      </c>
      <c r="C108" s="177">
        <v>127</v>
      </c>
      <c r="D108" s="177">
        <v>124</v>
      </c>
      <c r="E108" s="177">
        <v>99</v>
      </c>
      <c r="F108" s="177">
        <v>134</v>
      </c>
      <c r="G108" s="177">
        <v>105</v>
      </c>
      <c r="H108" s="492">
        <f t="shared" si="60"/>
        <v>589</v>
      </c>
      <c r="I108" s="496"/>
      <c r="J108" s="496"/>
      <c r="K108" s="496"/>
      <c r="L108" s="496"/>
      <c r="M108" s="496"/>
      <c r="N108" s="492">
        <f t="shared" si="61"/>
        <v>0</v>
      </c>
      <c r="O108" s="498"/>
      <c r="P108" s="498"/>
      <c r="Q108" s="498"/>
      <c r="R108" s="498"/>
      <c r="S108" s="498"/>
      <c r="T108" s="492">
        <f t="shared" si="62"/>
        <v>0</v>
      </c>
      <c r="U108" s="493"/>
      <c r="V108" s="495"/>
      <c r="W108" s="495"/>
      <c r="X108" s="495"/>
      <c r="Y108" s="495"/>
      <c r="Z108" s="492">
        <f t="shared" si="63"/>
        <v>0</v>
      </c>
      <c r="AA108" s="35"/>
      <c r="AB108" s="35"/>
      <c r="AC108" s="35"/>
      <c r="AD108" s="35"/>
      <c r="AE108" s="35"/>
      <c r="AF108" s="492">
        <f t="shared" si="64"/>
        <v>0</v>
      </c>
      <c r="AG108" s="496"/>
      <c r="AH108" s="496"/>
      <c r="AI108" s="496"/>
      <c r="AJ108" s="496"/>
      <c r="AK108" s="496"/>
      <c r="AL108" s="492">
        <f t="shared" si="65"/>
        <v>0</v>
      </c>
      <c r="AM108" s="35"/>
      <c r="AN108" s="35"/>
      <c r="AO108" s="35"/>
      <c r="AP108" s="35"/>
      <c r="AQ108" s="35"/>
      <c r="AR108" s="492">
        <f t="shared" si="66"/>
        <v>0</v>
      </c>
      <c r="AS108" s="28">
        <f t="shared" si="67"/>
        <v>589</v>
      </c>
      <c r="AT108" s="29">
        <f t="shared" si="68"/>
        <v>5</v>
      </c>
      <c r="AU108" s="588">
        <f t="shared" si="69"/>
        <v>117.8</v>
      </c>
    </row>
    <row r="109" spans="1:47" ht="15">
      <c r="A109" s="485" t="s">
        <v>7</v>
      </c>
      <c r="B109" s="423" t="s">
        <v>72</v>
      </c>
      <c r="C109" s="177">
        <v>123</v>
      </c>
      <c r="D109" s="177">
        <v>205</v>
      </c>
      <c r="E109" s="177">
        <v>193</v>
      </c>
      <c r="F109" s="177">
        <v>151</v>
      </c>
      <c r="G109" s="177">
        <v>158</v>
      </c>
      <c r="H109" s="492">
        <f t="shared" si="60"/>
        <v>830</v>
      </c>
      <c r="I109" s="493"/>
      <c r="J109" s="493"/>
      <c r="K109" s="493"/>
      <c r="L109" s="493"/>
      <c r="M109" s="493"/>
      <c r="N109" s="492">
        <f t="shared" si="61"/>
        <v>0</v>
      </c>
      <c r="O109" s="503"/>
      <c r="P109" s="503"/>
      <c r="Q109" s="503"/>
      <c r="R109" s="503"/>
      <c r="S109" s="503"/>
      <c r="T109" s="492">
        <f t="shared" si="62"/>
        <v>0</v>
      </c>
      <c r="U109" s="502"/>
      <c r="V109" s="502"/>
      <c r="W109" s="502"/>
      <c r="X109" s="502"/>
      <c r="Y109" s="502"/>
      <c r="Z109" s="492">
        <f t="shared" si="63"/>
        <v>0</v>
      </c>
      <c r="AA109" s="562"/>
      <c r="AB109" s="562"/>
      <c r="AC109" s="562"/>
      <c r="AD109" s="562"/>
      <c r="AE109" s="562"/>
      <c r="AF109" s="492">
        <f t="shared" si="64"/>
        <v>0</v>
      </c>
      <c r="AG109" s="496"/>
      <c r="AH109" s="496"/>
      <c r="AI109" s="496"/>
      <c r="AJ109" s="496"/>
      <c r="AK109" s="496"/>
      <c r="AL109" s="492">
        <f t="shared" si="65"/>
        <v>0</v>
      </c>
      <c r="AM109" s="45">
        <v>145</v>
      </c>
      <c r="AN109" s="45">
        <v>150</v>
      </c>
      <c r="AO109" s="45">
        <v>152</v>
      </c>
      <c r="AP109" s="45">
        <v>155</v>
      </c>
      <c r="AQ109" s="45">
        <v>164</v>
      </c>
      <c r="AR109" s="492">
        <f t="shared" si="66"/>
        <v>766</v>
      </c>
      <c r="AS109" s="28">
        <f t="shared" ref="AS109:AS114" si="70">SUM(N109,H109,T109,Z109,AF109,AL109,AR109)</f>
        <v>1596</v>
      </c>
      <c r="AT109" s="29">
        <f t="shared" ref="AT109:AT114" si="71">COUNT(C109:G109,I109:M109,O109:S109,U109:Y109,AA109:AE109,AG109:AK109,AM109:AQ109)</f>
        <v>10</v>
      </c>
      <c r="AU109" s="588">
        <f t="shared" ref="AU109:AU114" si="72">IF(AT109=0,"",AS109/AT109)</f>
        <v>159.6</v>
      </c>
    </row>
    <row r="110" spans="1:47" ht="15">
      <c r="A110" s="485" t="s">
        <v>7</v>
      </c>
      <c r="B110" s="423" t="s">
        <v>100</v>
      </c>
      <c r="C110" s="35"/>
      <c r="D110" s="35"/>
      <c r="E110" s="35"/>
      <c r="F110" s="35"/>
      <c r="G110" s="35"/>
      <c r="H110" s="492">
        <f t="shared" si="60"/>
        <v>0</v>
      </c>
      <c r="I110" s="493">
        <v>168</v>
      </c>
      <c r="J110" s="493">
        <v>194</v>
      </c>
      <c r="K110" s="493">
        <v>193</v>
      </c>
      <c r="L110" s="493">
        <v>180</v>
      </c>
      <c r="M110" s="493">
        <v>161</v>
      </c>
      <c r="N110" s="492">
        <f t="shared" si="61"/>
        <v>896</v>
      </c>
      <c r="O110" s="494">
        <v>135</v>
      </c>
      <c r="P110" s="494">
        <v>180</v>
      </c>
      <c r="Q110" s="494">
        <v>184</v>
      </c>
      <c r="R110" s="494">
        <v>157</v>
      </c>
      <c r="S110" s="494">
        <v>168</v>
      </c>
      <c r="T110" s="492">
        <f t="shared" si="62"/>
        <v>824</v>
      </c>
      <c r="U110" s="493"/>
      <c r="V110" s="501"/>
      <c r="W110" s="501"/>
      <c r="X110" s="501"/>
      <c r="Y110" s="501"/>
      <c r="Z110" s="492">
        <f t="shared" si="63"/>
        <v>0</v>
      </c>
      <c r="AA110" s="570">
        <v>172</v>
      </c>
      <c r="AB110" s="570">
        <v>144</v>
      </c>
      <c r="AC110" s="570">
        <v>173</v>
      </c>
      <c r="AD110" s="570">
        <v>185</v>
      </c>
      <c r="AE110" s="570">
        <v>152</v>
      </c>
      <c r="AF110" s="492">
        <f t="shared" si="64"/>
        <v>826</v>
      </c>
      <c r="AG110" s="496"/>
      <c r="AH110" s="496"/>
      <c r="AI110" s="496"/>
      <c r="AJ110" s="496"/>
      <c r="AK110" s="496"/>
      <c r="AL110" s="492">
        <f t="shared" si="65"/>
        <v>0</v>
      </c>
      <c r="AM110" s="45">
        <v>124</v>
      </c>
      <c r="AN110" s="45">
        <v>168</v>
      </c>
      <c r="AO110" s="45">
        <v>158</v>
      </c>
      <c r="AP110" s="45">
        <v>166</v>
      </c>
      <c r="AQ110" s="45">
        <v>141</v>
      </c>
      <c r="AR110" s="492">
        <f t="shared" si="66"/>
        <v>757</v>
      </c>
      <c r="AS110" s="28">
        <f t="shared" si="70"/>
        <v>3303</v>
      </c>
      <c r="AT110" s="29">
        <f t="shared" si="71"/>
        <v>20</v>
      </c>
      <c r="AU110" s="588">
        <f t="shared" si="72"/>
        <v>165.15</v>
      </c>
    </row>
    <row r="111" spans="1:47" ht="15">
      <c r="A111" s="485" t="s">
        <v>7</v>
      </c>
      <c r="B111" s="423" t="s">
        <v>60</v>
      </c>
      <c r="C111" s="177">
        <v>128</v>
      </c>
      <c r="D111" s="177">
        <v>149</v>
      </c>
      <c r="E111" s="177">
        <v>155</v>
      </c>
      <c r="F111" s="177">
        <v>168</v>
      </c>
      <c r="G111" s="177">
        <v>155</v>
      </c>
      <c r="H111" s="492">
        <f t="shared" si="60"/>
        <v>755</v>
      </c>
      <c r="I111" s="493">
        <v>139</v>
      </c>
      <c r="J111" s="493">
        <v>182</v>
      </c>
      <c r="K111" s="493">
        <v>152</v>
      </c>
      <c r="L111" s="493">
        <v>161</v>
      </c>
      <c r="M111" s="493">
        <v>156</v>
      </c>
      <c r="N111" s="492">
        <f t="shared" si="61"/>
        <v>790</v>
      </c>
      <c r="O111" s="498"/>
      <c r="P111" s="498"/>
      <c r="Q111" s="498"/>
      <c r="R111" s="498"/>
      <c r="S111" s="498"/>
      <c r="T111" s="492">
        <f t="shared" si="62"/>
        <v>0</v>
      </c>
      <c r="U111" s="493"/>
      <c r="V111" s="501"/>
      <c r="W111" s="501"/>
      <c r="X111" s="501"/>
      <c r="Y111" s="501"/>
      <c r="Z111" s="492">
        <f t="shared" si="63"/>
        <v>0</v>
      </c>
      <c r="AA111" s="570">
        <v>235</v>
      </c>
      <c r="AB111" s="570">
        <v>146</v>
      </c>
      <c r="AC111" s="570">
        <v>166</v>
      </c>
      <c r="AD111" s="570">
        <v>187</v>
      </c>
      <c r="AE111" s="570">
        <v>178</v>
      </c>
      <c r="AF111" s="492">
        <f t="shared" si="64"/>
        <v>912</v>
      </c>
      <c r="AG111" s="655">
        <v>160</v>
      </c>
      <c r="AH111" s="655">
        <v>228</v>
      </c>
      <c r="AI111" s="655">
        <v>135</v>
      </c>
      <c r="AJ111" s="655">
        <v>165</v>
      </c>
      <c r="AK111" s="655">
        <v>135</v>
      </c>
      <c r="AL111" s="492">
        <f t="shared" si="65"/>
        <v>823</v>
      </c>
      <c r="AM111" s="45">
        <v>173</v>
      </c>
      <c r="AN111" s="45">
        <v>144</v>
      </c>
      <c r="AO111" s="45">
        <v>153</v>
      </c>
      <c r="AP111" s="45">
        <v>161</v>
      </c>
      <c r="AQ111" s="45">
        <v>171</v>
      </c>
      <c r="AR111" s="492">
        <f t="shared" si="66"/>
        <v>802</v>
      </c>
      <c r="AS111" s="28">
        <f t="shared" si="70"/>
        <v>4082</v>
      </c>
      <c r="AT111" s="29">
        <f t="shared" si="71"/>
        <v>25</v>
      </c>
      <c r="AU111" s="588">
        <f t="shared" si="72"/>
        <v>163.28</v>
      </c>
    </row>
    <row r="112" spans="1:47" ht="15">
      <c r="A112" s="485" t="s">
        <v>7</v>
      </c>
      <c r="B112" s="423" t="s">
        <v>103</v>
      </c>
      <c r="C112" s="51"/>
      <c r="D112" s="51"/>
      <c r="E112" s="51"/>
      <c r="F112" s="51"/>
      <c r="G112" s="51"/>
      <c r="H112" s="492">
        <f t="shared" si="60"/>
        <v>0</v>
      </c>
      <c r="I112" s="496"/>
      <c r="J112" s="496"/>
      <c r="K112" s="496"/>
      <c r="L112" s="496"/>
      <c r="M112" s="496"/>
      <c r="N112" s="492">
        <f t="shared" si="61"/>
        <v>0</v>
      </c>
      <c r="O112" s="498"/>
      <c r="P112" s="498"/>
      <c r="Q112" s="498"/>
      <c r="R112" s="498"/>
      <c r="S112" s="498"/>
      <c r="T112" s="492">
        <f t="shared" ref="T112:T119" si="73">SUM(O112+P112+Q112+R112+S112)</f>
        <v>0</v>
      </c>
      <c r="U112" s="502"/>
      <c r="V112" s="502"/>
      <c r="W112" s="502"/>
      <c r="X112" s="502"/>
      <c r="Y112" s="502"/>
      <c r="Z112" s="492">
        <f t="shared" ref="Z112:Z119" si="74">SUM(U112+V112+W112+X112+Y112)</f>
        <v>0</v>
      </c>
      <c r="AA112" s="51"/>
      <c r="AB112" s="51"/>
      <c r="AC112" s="51"/>
      <c r="AD112" s="51"/>
      <c r="AE112" s="51"/>
      <c r="AF112" s="492">
        <f t="shared" ref="AF112:AF119" si="75">SUM(AA112+AB112+AC112+AD112+AE112)</f>
        <v>0</v>
      </c>
      <c r="AG112" s="501"/>
      <c r="AH112" s="501"/>
      <c r="AI112" s="501"/>
      <c r="AJ112" s="501"/>
      <c r="AK112" s="501"/>
      <c r="AL112" s="492">
        <f t="shared" ref="AL112:AL119" si="76">SUM(AG112+AH112+AI112+AJ112+AK112)</f>
        <v>0</v>
      </c>
      <c r="AM112" s="35"/>
      <c r="AN112" s="35"/>
      <c r="AO112" s="35"/>
      <c r="AP112" s="35"/>
      <c r="AQ112" s="35"/>
      <c r="AR112" s="492">
        <f t="shared" ref="AR112:AR119" si="77">SUM(AM112+AN112+AO112+AP112+AQ112)</f>
        <v>0</v>
      </c>
      <c r="AS112" s="28">
        <f t="shared" si="70"/>
        <v>0</v>
      </c>
      <c r="AT112" s="29">
        <f t="shared" si="71"/>
        <v>0</v>
      </c>
      <c r="AU112" s="588" t="str">
        <f t="shared" si="72"/>
        <v/>
      </c>
    </row>
    <row r="113" spans="1:47" ht="15">
      <c r="A113" s="485" t="s">
        <v>7</v>
      </c>
      <c r="B113" s="423" t="s">
        <v>98</v>
      </c>
      <c r="C113" s="35"/>
      <c r="D113" s="35"/>
      <c r="E113" s="35"/>
      <c r="F113" s="35"/>
      <c r="G113" s="35"/>
      <c r="H113" s="492">
        <f t="shared" si="60"/>
        <v>0</v>
      </c>
      <c r="I113" s="493"/>
      <c r="J113" s="493"/>
      <c r="K113" s="493"/>
      <c r="L113" s="493"/>
      <c r="M113" s="493"/>
      <c r="N113" s="492">
        <f t="shared" si="61"/>
        <v>0</v>
      </c>
      <c r="O113" s="494">
        <v>100</v>
      </c>
      <c r="P113" s="494">
        <v>138</v>
      </c>
      <c r="Q113" s="494">
        <v>148</v>
      </c>
      <c r="R113" s="494">
        <v>145</v>
      </c>
      <c r="S113" s="494">
        <v>134</v>
      </c>
      <c r="T113" s="492">
        <f t="shared" si="73"/>
        <v>665</v>
      </c>
      <c r="U113" s="493">
        <v>178</v>
      </c>
      <c r="V113" s="493">
        <v>158</v>
      </c>
      <c r="W113" s="493">
        <v>152</v>
      </c>
      <c r="X113" s="493">
        <v>130</v>
      </c>
      <c r="Y113" s="493">
        <v>106</v>
      </c>
      <c r="Z113" s="492">
        <f t="shared" si="74"/>
        <v>724</v>
      </c>
      <c r="AA113" s="571"/>
      <c r="AB113" s="571"/>
      <c r="AC113" s="571"/>
      <c r="AD113" s="571"/>
      <c r="AE113" s="571"/>
      <c r="AF113" s="492">
        <f t="shared" si="75"/>
        <v>0</v>
      </c>
      <c r="AG113" s="501"/>
      <c r="AH113" s="501"/>
      <c r="AI113" s="501"/>
      <c r="AJ113" s="501"/>
      <c r="AK113" s="501"/>
      <c r="AL113" s="492">
        <f t="shared" si="76"/>
        <v>0</v>
      </c>
      <c r="AM113" s="35"/>
      <c r="AN113" s="35"/>
      <c r="AO113" s="35"/>
      <c r="AP113" s="35"/>
      <c r="AQ113" s="35"/>
      <c r="AR113" s="492">
        <f t="shared" si="77"/>
        <v>0</v>
      </c>
      <c r="AS113" s="28">
        <f t="shared" si="70"/>
        <v>1389</v>
      </c>
      <c r="AT113" s="29">
        <f t="shared" si="71"/>
        <v>10</v>
      </c>
      <c r="AU113" s="588">
        <f t="shared" si="72"/>
        <v>138.9</v>
      </c>
    </row>
    <row r="114" spans="1:47" ht="15">
      <c r="A114" s="485" t="s">
        <v>7</v>
      </c>
      <c r="B114" s="423" t="s">
        <v>93</v>
      </c>
      <c r="C114" s="177">
        <v>121</v>
      </c>
      <c r="D114" s="177">
        <v>151</v>
      </c>
      <c r="E114" s="177">
        <v>119</v>
      </c>
      <c r="F114" s="177">
        <v>152</v>
      </c>
      <c r="G114" s="177">
        <v>130</v>
      </c>
      <c r="H114" s="492">
        <f t="shared" si="60"/>
        <v>673</v>
      </c>
      <c r="I114" s="496"/>
      <c r="J114" s="496"/>
      <c r="K114" s="496"/>
      <c r="L114" s="496"/>
      <c r="M114" s="496"/>
      <c r="N114" s="492">
        <f t="shared" si="61"/>
        <v>0</v>
      </c>
      <c r="O114" s="494">
        <v>158</v>
      </c>
      <c r="P114" s="494">
        <v>153</v>
      </c>
      <c r="Q114" s="494">
        <v>113</v>
      </c>
      <c r="R114" s="494">
        <v>133</v>
      </c>
      <c r="S114" s="494">
        <v>169</v>
      </c>
      <c r="T114" s="492">
        <f t="shared" si="73"/>
        <v>726</v>
      </c>
      <c r="U114" s="493">
        <v>113</v>
      </c>
      <c r="V114" s="493">
        <v>100</v>
      </c>
      <c r="W114" s="493">
        <v>111</v>
      </c>
      <c r="X114" s="493">
        <v>118</v>
      </c>
      <c r="Y114" s="493">
        <v>127</v>
      </c>
      <c r="Z114" s="492">
        <f t="shared" si="74"/>
        <v>569</v>
      </c>
      <c r="AA114" s="570">
        <v>152</v>
      </c>
      <c r="AB114" s="570">
        <v>107</v>
      </c>
      <c r="AC114" s="570">
        <v>148</v>
      </c>
      <c r="AD114" s="570">
        <v>164</v>
      </c>
      <c r="AE114" s="570">
        <v>117</v>
      </c>
      <c r="AF114" s="492">
        <f t="shared" si="75"/>
        <v>688</v>
      </c>
      <c r="AG114" s="655">
        <v>124</v>
      </c>
      <c r="AH114" s="655">
        <v>133</v>
      </c>
      <c r="AI114" s="655">
        <v>90</v>
      </c>
      <c r="AJ114" s="655">
        <v>128</v>
      </c>
      <c r="AK114" s="655">
        <v>121</v>
      </c>
      <c r="AL114" s="492">
        <f t="shared" si="76"/>
        <v>596</v>
      </c>
      <c r="AM114" s="35"/>
      <c r="AN114" s="35"/>
      <c r="AO114" s="35"/>
      <c r="AP114" s="35"/>
      <c r="AQ114" s="35"/>
      <c r="AR114" s="492">
        <f t="shared" si="77"/>
        <v>0</v>
      </c>
      <c r="AS114" s="28">
        <f t="shared" si="70"/>
        <v>3252</v>
      </c>
      <c r="AT114" s="29">
        <f t="shared" si="71"/>
        <v>25</v>
      </c>
      <c r="AU114" s="588">
        <f t="shared" si="72"/>
        <v>130.08000000000001</v>
      </c>
    </row>
    <row r="115" spans="1:47" ht="15">
      <c r="A115" s="485" t="s">
        <v>7</v>
      </c>
      <c r="B115" s="423" t="s">
        <v>104</v>
      </c>
      <c r="C115" s="177">
        <v>138</v>
      </c>
      <c r="D115" s="177">
        <v>83</v>
      </c>
      <c r="E115" s="177">
        <v>110</v>
      </c>
      <c r="F115" s="177">
        <v>134</v>
      </c>
      <c r="G115" s="177">
        <v>106</v>
      </c>
      <c r="H115" s="492">
        <f t="shared" si="60"/>
        <v>571</v>
      </c>
      <c r="I115" s="493">
        <v>118</v>
      </c>
      <c r="J115" s="493">
        <v>126</v>
      </c>
      <c r="K115" s="493">
        <v>117</v>
      </c>
      <c r="L115" s="493">
        <v>131</v>
      </c>
      <c r="M115" s="493">
        <v>111</v>
      </c>
      <c r="N115" s="492">
        <f>SUM(I115+J115+K115+L115+M115)</f>
        <v>603</v>
      </c>
      <c r="O115" s="494">
        <v>121</v>
      </c>
      <c r="P115" s="494">
        <v>130</v>
      </c>
      <c r="Q115" s="494">
        <v>134</v>
      </c>
      <c r="R115" s="494">
        <v>121</v>
      </c>
      <c r="S115" s="494">
        <v>105</v>
      </c>
      <c r="T115" s="492">
        <f t="shared" si="73"/>
        <v>611</v>
      </c>
      <c r="U115" s="493">
        <v>130</v>
      </c>
      <c r="V115" s="493">
        <v>103</v>
      </c>
      <c r="W115" s="493">
        <v>108</v>
      </c>
      <c r="X115" s="493">
        <v>129</v>
      </c>
      <c r="Y115" s="493">
        <v>131</v>
      </c>
      <c r="Z115" s="492">
        <f t="shared" si="74"/>
        <v>601</v>
      </c>
      <c r="AA115" s="570">
        <v>109</v>
      </c>
      <c r="AB115" s="570">
        <v>102</v>
      </c>
      <c r="AC115" s="570">
        <v>99</v>
      </c>
      <c r="AD115" s="570">
        <v>105</v>
      </c>
      <c r="AE115" s="570">
        <v>124</v>
      </c>
      <c r="AF115" s="492">
        <f t="shared" si="75"/>
        <v>539</v>
      </c>
      <c r="AG115" s="655">
        <v>94</v>
      </c>
      <c r="AH115" s="655">
        <v>134</v>
      </c>
      <c r="AI115" s="655">
        <v>122</v>
      </c>
      <c r="AJ115" s="655">
        <v>119</v>
      </c>
      <c r="AK115" s="655">
        <v>129</v>
      </c>
      <c r="AL115" s="492">
        <f t="shared" si="76"/>
        <v>598</v>
      </c>
      <c r="AM115" s="35"/>
      <c r="AN115" s="35"/>
      <c r="AO115" s="35"/>
      <c r="AP115" s="35"/>
      <c r="AQ115" s="35"/>
      <c r="AR115" s="492">
        <f t="shared" si="77"/>
        <v>0</v>
      </c>
      <c r="AS115" s="28">
        <f>SUM(N115,H115,T115,Z115,AF115,AL115,AR115)</f>
        <v>3523</v>
      </c>
      <c r="AT115" s="29">
        <f>COUNT(C115:G115,I115:M115,O115:S115,U115:Y115,AA115:AE115,AG115:AK115,AM115:AQ115)</f>
        <v>30</v>
      </c>
      <c r="AU115" s="588">
        <f>IF(AT115=0,"",AS115/AT115)</f>
        <v>117.43333333333334</v>
      </c>
    </row>
    <row r="116" spans="1:47" ht="15">
      <c r="A116" s="485" t="s">
        <v>7</v>
      </c>
      <c r="B116" s="423" t="s">
        <v>105</v>
      </c>
      <c r="C116" s="35"/>
      <c r="D116" s="34"/>
      <c r="E116" s="34"/>
      <c r="F116" s="34"/>
      <c r="G116" s="34"/>
      <c r="H116" s="492">
        <f t="shared" si="60"/>
        <v>0</v>
      </c>
      <c r="I116" s="493">
        <v>129</v>
      </c>
      <c r="J116" s="493">
        <v>140</v>
      </c>
      <c r="K116" s="493">
        <v>148</v>
      </c>
      <c r="L116" s="493">
        <v>170</v>
      </c>
      <c r="M116" s="493">
        <v>123</v>
      </c>
      <c r="N116" s="492">
        <f>SUM(I116+J116+K116+L116+M116)</f>
        <v>710</v>
      </c>
      <c r="O116" s="494">
        <v>118</v>
      </c>
      <c r="P116" s="494">
        <v>130</v>
      </c>
      <c r="Q116" s="494">
        <v>124</v>
      </c>
      <c r="R116" s="494">
        <v>177</v>
      </c>
      <c r="S116" s="494">
        <v>124</v>
      </c>
      <c r="T116" s="492">
        <f t="shared" si="73"/>
        <v>673</v>
      </c>
      <c r="U116" s="493">
        <v>144</v>
      </c>
      <c r="V116" s="493">
        <v>125</v>
      </c>
      <c r="W116" s="493">
        <v>143</v>
      </c>
      <c r="X116" s="493">
        <v>146</v>
      </c>
      <c r="Y116" s="493">
        <v>117</v>
      </c>
      <c r="Z116" s="492">
        <f t="shared" si="74"/>
        <v>675</v>
      </c>
      <c r="AA116" s="570">
        <v>154</v>
      </c>
      <c r="AB116" s="570">
        <v>146</v>
      </c>
      <c r="AC116" s="570">
        <v>127</v>
      </c>
      <c r="AD116" s="570">
        <v>144</v>
      </c>
      <c r="AE116" s="570">
        <v>152</v>
      </c>
      <c r="AF116" s="492">
        <f t="shared" si="75"/>
        <v>723</v>
      </c>
      <c r="AG116" s="655">
        <v>169</v>
      </c>
      <c r="AH116" s="655">
        <v>142</v>
      </c>
      <c r="AI116" s="655">
        <v>160</v>
      </c>
      <c r="AJ116" s="655">
        <v>161</v>
      </c>
      <c r="AK116" s="655">
        <v>141</v>
      </c>
      <c r="AL116" s="492">
        <f t="shared" si="76"/>
        <v>773</v>
      </c>
      <c r="AM116" s="35"/>
      <c r="AN116" s="35"/>
      <c r="AO116" s="35"/>
      <c r="AP116" s="35"/>
      <c r="AQ116" s="35"/>
      <c r="AR116" s="492">
        <f t="shared" si="77"/>
        <v>0</v>
      </c>
      <c r="AS116" s="28">
        <f>SUM(N116,H116,T116,Z116,AF116,AL116,AR116)</f>
        <v>3554</v>
      </c>
      <c r="AT116" s="29">
        <f>COUNT(C116:G116,I116:M116,O116:S116,U116:Y116,AA116:AE116,AG116:AK116,AM116:AQ116)</f>
        <v>25</v>
      </c>
      <c r="AU116" s="588">
        <f>IF(AT116=0,"",AS116/AT116)</f>
        <v>142.16</v>
      </c>
    </row>
    <row r="117" spans="1:47" ht="15">
      <c r="A117" s="485" t="s">
        <v>7</v>
      </c>
      <c r="B117" s="573" t="s">
        <v>285</v>
      </c>
      <c r="C117" s="35"/>
      <c r="D117" s="34"/>
      <c r="E117" s="34"/>
      <c r="F117" s="34"/>
      <c r="G117" s="34"/>
      <c r="H117" s="492">
        <f t="shared" si="60"/>
        <v>0</v>
      </c>
      <c r="I117" s="504"/>
      <c r="J117" s="504"/>
      <c r="K117" s="504"/>
      <c r="L117" s="504"/>
      <c r="M117" s="504"/>
      <c r="N117" s="492">
        <f>SUM(I117+J117+K117+L117+M117)</f>
        <v>0</v>
      </c>
      <c r="O117" s="498"/>
      <c r="P117" s="498"/>
      <c r="Q117" s="498"/>
      <c r="R117" s="498"/>
      <c r="S117" s="498"/>
      <c r="T117" s="492">
        <f t="shared" si="73"/>
        <v>0</v>
      </c>
      <c r="U117" s="505"/>
      <c r="V117" s="505"/>
      <c r="W117" s="505"/>
      <c r="X117" s="505"/>
      <c r="Y117" s="505"/>
      <c r="Z117" s="492">
        <f t="shared" si="74"/>
        <v>0</v>
      </c>
      <c r="AA117" s="570">
        <v>119</v>
      </c>
      <c r="AB117" s="570">
        <v>97</v>
      </c>
      <c r="AC117" s="570">
        <v>123</v>
      </c>
      <c r="AD117" s="570">
        <v>112</v>
      </c>
      <c r="AE117" s="570">
        <v>113</v>
      </c>
      <c r="AF117" s="492">
        <f t="shared" si="75"/>
        <v>564</v>
      </c>
      <c r="AG117" s="655">
        <v>94</v>
      </c>
      <c r="AH117" s="655">
        <v>120</v>
      </c>
      <c r="AI117" s="655">
        <v>94</v>
      </c>
      <c r="AJ117" s="655">
        <v>170</v>
      </c>
      <c r="AK117" s="655">
        <v>145</v>
      </c>
      <c r="AL117" s="492">
        <f t="shared" si="76"/>
        <v>623</v>
      </c>
      <c r="AM117" s="45">
        <v>106</v>
      </c>
      <c r="AN117" s="45">
        <v>137</v>
      </c>
      <c r="AO117" s="45">
        <v>133</v>
      </c>
      <c r="AP117" s="45">
        <v>110</v>
      </c>
      <c r="AQ117" s="45">
        <v>133</v>
      </c>
      <c r="AR117" s="492">
        <f t="shared" si="77"/>
        <v>619</v>
      </c>
      <c r="AS117" s="28">
        <f>SUM(N117,H117,T117,Z117,AF117,AL117,AR117)</f>
        <v>1806</v>
      </c>
      <c r="AT117" s="29">
        <f>COUNT(C117:G117,I117:M117,O117:S117,U117:Y117,AA117:AE117,AG117:AK117,AM117:AQ117)</f>
        <v>15</v>
      </c>
      <c r="AU117" s="588">
        <f>IF(AT117=0,"",AS117/AT117)</f>
        <v>120.4</v>
      </c>
    </row>
    <row r="118" spans="1:47" ht="15">
      <c r="A118" s="485" t="s">
        <v>7</v>
      </c>
      <c r="B118" s="425" t="s">
        <v>119</v>
      </c>
      <c r="C118" s="35"/>
      <c r="D118" s="34"/>
      <c r="E118" s="34"/>
      <c r="F118" s="34"/>
      <c r="G118" s="34"/>
      <c r="H118" s="492">
        <f>SUM(C118+D118+E118+F118+G118)</f>
        <v>0</v>
      </c>
      <c r="I118" s="504"/>
      <c r="J118" s="504"/>
      <c r="K118" s="504"/>
      <c r="L118" s="504"/>
      <c r="M118" s="504"/>
      <c r="N118" s="492">
        <f>SUM(I118+J118+K118+L118+M118)</f>
        <v>0</v>
      </c>
      <c r="O118" s="498"/>
      <c r="P118" s="498"/>
      <c r="Q118" s="498"/>
      <c r="R118" s="498"/>
      <c r="S118" s="498"/>
      <c r="T118" s="492">
        <f t="shared" si="73"/>
        <v>0</v>
      </c>
      <c r="U118" s="493">
        <v>221</v>
      </c>
      <c r="V118" s="493">
        <v>163</v>
      </c>
      <c r="W118" s="493">
        <v>180</v>
      </c>
      <c r="X118" s="493">
        <v>137</v>
      </c>
      <c r="Y118" s="493">
        <v>139</v>
      </c>
      <c r="Z118" s="492">
        <f t="shared" si="74"/>
        <v>840</v>
      </c>
      <c r="AA118" s="502"/>
      <c r="AB118" s="502"/>
      <c r="AC118" s="502"/>
      <c r="AD118" s="502"/>
      <c r="AE118" s="502"/>
      <c r="AF118" s="492">
        <f t="shared" si="75"/>
        <v>0</v>
      </c>
      <c r="AG118" s="496"/>
      <c r="AH118" s="496"/>
      <c r="AI118" s="496"/>
      <c r="AJ118" s="496"/>
      <c r="AK118" s="496"/>
      <c r="AL118" s="492">
        <f t="shared" si="76"/>
        <v>0</v>
      </c>
      <c r="AM118" s="501"/>
      <c r="AN118" s="501"/>
      <c r="AO118" s="501"/>
      <c r="AP118" s="501"/>
      <c r="AQ118" s="501"/>
      <c r="AR118" s="492">
        <f t="shared" si="77"/>
        <v>0</v>
      </c>
      <c r="AS118" s="28">
        <f>SUM(N118,H118,T118,Z118,AF118,AL118,AR118)</f>
        <v>840</v>
      </c>
      <c r="AT118" s="29">
        <f>COUNT(C118:G118,I118:M118,O118:S118,U118:Y118,AA118:AE118,AG118:AK118,AM118:AQ118)</f>
        <v>5</v>
      </c>
      <c r="AU118" s="588">
        <f>IF(AT118=0,"",AS118/AT118)</f>
        <v>168</v>
      </c>
    </row>
    <row r="119" spans="1:47" ht="15">
      <c r="A119" s="485" t="s">
        <v>7</v>
      </c>
      <c r="B119" s="425" t="s">
        <v>120</v>
      </c>
      <c r="C119" s="35"/>
      <c r="D119" s="34"/>
      <c r="E119" s="34"/>
      <c r="F119" s="34"/>
      <c r="G119" s="34"/>
      <c r="H119" s="492">
        <f>SUM(C119+D119+E119+F119+G119)</f>
        <v>0</v>
      </c>
      <c r="I119" s="504"/>
      <c r="J119" s="504"/>
      <c r="K119" s="504"/>
      <c r="L119" s="504"/>
      <c r="M119" s="504"/>
      <c r="N119" s="492">
        <f>SUM(I119+J119+K119+L119+M119)</f>
        <v>0</v>
      </c>
      <c r="O119" s="498"/>
      <c r="P119" s="498"/>
      <c r="Q119" s="498"/>
      <c r="R119" s="498"/>
      <c r="S119" s="498"/>
      <c r="T119" s="492">
        <f t="shared" si="73"/>
        <v>0</v>
      </c>
      <c r="U119" s="505"/>
      <c r="V119" s="505"/>
      <c r="W119" s="505"/>
      <c r="X119" s="505"/>
      <c r="Y119" s="505"/>
      <c r="Z119" s="492">
        <f t="shared" si="74"/>
        <v>0</v>
      </c>
      <c r="AA119" s="501"/>
      <c r="AB119" s="501"/>
      <c r="AC119" s="501"/>
      <c r="AD119" s="501"/>
      <c r="AE119" s="501"/>
      <c r="AF119" s="492">
        <f t="shared" si="75"/>
        <v>0</v>
      </c>
      <c r="AG119" s="501"/>
      <c r="AH119" s="501"/>
      <c r="AI119" s="501"/>
      <c r="AJ119" s="501"/>
      <c r="AK119" s="501"/>
      <c r="AL119" s="492">
        <f t="shared" si="76"/>
        <v>0</v>
      </c>
      <c r="AM119" s="501"/>
      <c r="AN119" s="501"/>
      <c r="AO119" s="501"/>
      <c r="AP119" s="501"/>
      <c r="AQ119" s="501"/>
      <c r="AR119" s="492">
        <f t="shared" si="77"/>
        <v>0</v>
      </c>
      <c r="AS119" s="28">
        <f>SUM(N119,H119,T119,Z119,AF119,AL119,AR119)</f>
        <v>0</v>
      </c>
      <c r="AT119" s="29">
        <f>COUNT(C119:G119,I119:M119,O119:S119,U119:Y119,AA119:AE119,AG119:AK119,AM119:AQ119)</f>
        <v>0</v>
      </c>
      <c r="AU119" s="588" t="str">
        <f>IF(AT119=0,"",AS119/AT119)</f>
        <v/>
      </c>
    </row>
    <row r="120" spans="1:47">
      <c r="A120" s="455"/>
      <c r="B120" s="426"/>
      <c r="C120" s="51"/>
      <c r="D120" s="51"/>
      <c r="E120" s="51"/>
      <c r="F120" s="51"/>
      <c r="G120" s="61"/>
      <c r="H120" s="506"/>
      <c r="I120" s="495"/>
      <c r="J120" s="495"/>
      <c r="K120" s="495"/>
      <c r="L120" s="495"/>
      <c r="M120" s="495"/>
      <c r="N120" s="507"/>
      <c r="O120" s="501"/>
      <c r="P120" s="501"/>
      <c r="Q120" s="501"/>
      <c r="R120" s="501"/>
      <c r="S120" s="501"/>
      <c r="T120" s="507"/>
      <c r="U120" s="508"/>
      <c r="V120" s="508"/>
      <c r="W120" s="508"/>
      <c r="X120" s="508"/>
      <c r="Y120" s="508"/>
      <c r="Z120" s="507"/>
      <c r="AA120" s="501"/>
      <c r="AB120" s="501"/>
      <c r="AC120" s="501"/>
      <c r="AD120" s="501"/>
      <c r="AE120" s="501"/>
      <c r="AF120" s="507"/>
      <c r="AG120" s="501"/>
      <c r="AH120" s="501"/>
      <c r="AI120" s="501"/>
      <c r="AJ120" s="501"/>
      <c r="AK120" s="501"/>
      <c r="AL120" s="507"/>
      <c r="AM120" s="501"/>
      <c r="AN120" s="501"/>
      <c r="AO120" s="501"/>
      <c r="AP120" s="501"/>
      <c r="AQ120" s="501"/>
      <c r="AR120" s="507"/>
      <c r="AS120" s="24"/>
      <c r="AT120" s="25"/>
      <c r="AU120" s="590"/>
    </row>
    <row r="121" spans="1:47" ht="15.75" thickBot="1">
      <c r="A121" s="456"/>
      <c r="B121" s="486"/>
      <c r="C121" s="487"/>
      <c r="D121" s="487"/>
      <c r="E121" s="487"/>
      <c r="F121" s="487"/>
      <c r="G121" s="487"/>
      <c r="H121" s="487"/>
      <c r="I121" s="442"/>
      <c r="J121" s="442"/>
      <c r="K121" s="442"/>
      <c r="L121" s="442"/>
      <c r="M121" s="442"/>
      <c r="N121" s="442"/>
      <c r="O121" s="442"/>
      <c r="P121" s="442"/>
      <c r="Q121" s="442"/>
      <c r="R121" s="442"/>
      <c r="S121" s="442"/>
      <c r="T121" s="442"/>
      <c r="U121" s="442"/>
      <c r="V121" s="442"/>
      <c r="W121" s="442"/>
      <c r="X121" s="442"/>
      <c r="Y121" s="442"/>
      <c r="Z121" s="442"/>
      <c r="AA121" s="442"/>
      <c r="AB121" s="442"/>
      <c r="AC121" s="442"/>
      <c r="AD121" s="442"/>
      <c r="AE121" s="442"/>
      <c r="AF121" s="442"/>
      <c r="AG121" s="442"/>
      <c r="AH121" s="442"/>
      <c r="AI121" s="442"/>
      <c r="AJ121" s="442"/>
      <c r="AK121" s="442"/>
      <c r="AL121" s="442"/>
      <c r="AM121" s="442"/>
      <c r="AN121" s="442"/>
      <c r="AO121" s="442"/>
      <c r="AP121" s="442"/>
      <c r="AQ121" s="442"/>
      <c r="AR121" s="442"/>
      <c r="AS121" s="488">
        <f>SUM(AS99:AS120)</f>
        <v>48526</v>
      </c>
      <c r="AT121" s="441">
        <f>SUM(AT99:AT120)</f>
        <v>350</v>
      </c>
      <c r="AU121" s="443">
        <f>IF(AT121=0,"",AS121/AT121)</f>
        <v>138.64571428571429</v>
      </c>
    </row>
    <row r="126" spans="1:47">
      <c r="B126" s="30" t="s">
        <v>20</v>
      </c>
    </row>
  </sheetData>
  <mergeCells count="7">
    <mergeCell ref="AM1:AQ1"/>
    <mergeCell ref="C1:G1"/>
    <mergeCell ref="I1:M1"/>
    <mergeCell ref="O1:S1"/>
    <mergeCell ref="U1:Y1"/>
    <mergeCell ref="AA1:AE1"/>
    <mergeCell ref="AG1:AK1"/>
  </mergeCells>
  <phoneticPr fontId="0" type="noConversion"/>
  <pageMargins left="0.78740157499999996" right="0.78740157499999996" top="0.984251969" bottom="0.984251969" header="0.4921259845" footer="0.4921259845"/>
  <pageSetup paperSize="9" orientation="landscape" horizontalDpi="4294967293"/>
  <headerFooter alignWithMargins="0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jednotlivci</vt:lpstr>
      <vt:lpstr>garáže</vt:lpstr>
      <vt:lpstr>stat. celkem</vt:lpstr>
      <vt:lpstr>turnaje</vt:lpstr>
      <vt:lpstr>zápis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Vapos</dc:creator>
  <cp:lastModifiedBy>ZO OS DOSIA Kačerov</cp:lastModifiedBy>
  <cp:lastPrinted>2013-05-28T08:13:44Z</cp:lastPrinted>
  <dcterms:created xsi:type="dcterms:W3CDTF">2007-02-13T17:30:40Z</dcterms:created>
  <dcterms:modified xsi:type="dcterms:W3CDTF">2014-03-07T23:43:58Z</dcterms:modified>
</cp:coreProperties>
</file>